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20" windowWidth="12855" windowHeight="7605" activeTab="5"/>
  </bookViews>
  <sheets>
    <sheet name="JAN" sheetId="1" r:id="rId1"/>
    <sheet name="Feb" sheetId="2" r:id="rId2"/>
    <sheet name="MARET" sheetId="3" r:id="rId3"/>
    <sheet name="APRIL" sheetId="4" r:id="rId4"/>
    <sheet name="MEI" sheetId="5" r:id="rId5"/>
    <sheet name="Juni" sheetId="6" r:id="rId6"/>
    <sheet name="Juli" sheetId="7" r:id="rId7"/>
    <sheet name="Agustus" sheetId="8" r:id="rId8"/>
    <sheet name="September" sheetId="9" r:id="rId9"/>
    <sheet name="Oktober" sheetId="10" r:id="rId10"/>
    <sheet name="Nopember" sheetId="11" r:id="rId11"/>
    <sheet name="Desember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<sst xmlns="http://schemas.openxmlformats.org/spreadsheetml/2006/main" count="4521" uniqueCount="895">
  <si>
    <t>REKAPITULASI ZAKAT, INFAK DAN SHODAQOH</t>
  </si>
  <si>
    <t>BADAN AMIL ZAKAT NASIONAL (BAZNAS) KABUPATEN SRAGEN</t>
  </si>
  <si>
    <t>NO</t>
  </si>
  <si>
    <t>UPZ / URAIAN</t>
  </si>
  <si>
    <t xml:space="preserve">PEMASUKAN
</t>
  </si>
  <si>
    <t>JUMLAH</t>
  </si>
  <si>
    <t>ZAKAT</t>
  </si>
  <si>
    <t>INFAK</t>
  </si>
  <si>
    <t>BUPATI &amp; WAKIL BUPATI</t>
  </si>
  <si>
    <t>Bupati</t>
  </si>
  <si>
    <t>Bupati &amp; Wakil Bupati</t>
  </si>
  <si>
    <t>INSPEKTORAT</t>
  </si>
  <si>
    <t>Inspektorat</t>
  </si>
  <si>
    <t>BADAN</t>
  </si>
  <si>
    <t>BAPPEDA</t>
  </si>
  <si>
    <t>Badan Kesbangpolinmas</t>
  </si>
  <si>
    <t>Badan Diklat dan Litbang</t>
  </si>
  <si>
    <t>Badan Pelaksana Penyuluhan</t>
  </si>
  <si>
    <t>BPUMD</t>
  </si>
  <si>
    <t>BPBD</t>
  </si>
  <si>
    <t>DINAS</t>
  </si>
  <si>
    <t>Dinas Kesehatan</t>
  </si>
  <si>
    <t>Dinas Pekerjaan Umum</t>
  </si>
  <si>
    <t>Dinas Perinkop dan UMKM</t>
  </si>
  <si>
    <t>Dinas Sosial</t>
  </si>
  <si>
    <t>Dinas Pertanian</t>
  </si>
  <si>
    <t>Dinas Peternakan &amp; Perikanan</t>
  </si>
  <si>
    <t>Dinas Hubkominfo</t>
  </si>
  <si>
    <t>Dinas Kependudukan dan Capil</t>
  </si>
  <si>
    <t>DP2KAD</t>
  </si>
  <si>
    <t>Dinas Parbud dan POR</t>
  </si>
  <si>
    <t>Dinas Nakertrans</t>
  </si>
  <si>
    <t>Dinas Hutbun</t>
  </si>
  <si>
    <t>BAGIAN</t>
  </si>
  <si>
    <t>Bagian Hukum</t>
  </si>
  <si>
    <t>Bagian Pemberdayaan Perempuan</t>
  </si>
  <si>
    <t>Bagian Pembangunan</t>
  </si>
  <si>
    <t>Bagian Sumber Daya Alam</t>
  </si>
  <si>
    <t>Bagian Kesejahteraan Rakyat</t>
  </si>
  <si>
    <t>Bagian Umum</t>
  </si>
  <si>
    <t>Bagian Organisasi dan Kepegawaian</t>
  </si>
  <si>
    <t>Bagian Humas dan Protokol</t>
  </si>
  <si>
    <t xml:space="preserve">JUMLAH </t>
  </si>
  <si>
    <t>KANTOR</t>
  </si>
  <si>
    <t>Kantor Perpustakaan Daerah</t>
  </si>
  <si>
    <t>Kantor PDE</t>
  </si>
  <si>
    <t>Kantor Arsip dan Dokumentasi</t>
  </si>
  <si>
    <t>SATPOL PP</t>
  </si>
  <si>
    <t>Satuan Polisi Pamong Praja</t>
  </si>
  <si>
    <t xml:space="preserve">SEKRETARIS DEWAN (SETWAN) </t>
  </si>
  <si>
    <t>Sekretaris Dewan</t>
  </si>
  <si>
    <t>KECAMATAN</t>
  </si>
  <si>
    <t xml:space="preserve">Kec. Sragen </t>
  </si>
  <si>
    <t>Kec. Karangmalang</t>
  </si>
  <si>
    <t>Kec. Kedawung</t>
  </si>
  <si>
    <t>Kec. Sambirejo</t>
  </si>
  <si>
    <t>Kec. Gondang</t>
  </si>
  <si>
    <t>Kec. Sambungmacan</t>
  </si>
  <si>
    <t>Kec. Ngrampal</t>
  </si>
  <si>
    <t>Kec. Tangen</t>
  </si>
  <si>
    <t>Kec. Jenar</t>
  </si>
  <si>
    <t>Kec. Gesi</t>
  </si>
  <si>
    <t>Kec. Sukodono</t>
  </si>
  <si>
    <t>Kec. Mondokan</t>
  </si>
  <si>
    <t>Kec. Sumberlawang</t>
  </si>
  <si>
    <t>Kec. Miri</t>
  </si>
  <si>
    <t>Kec. Gemolong</t>
  </si>
  <si>
    <t>Kec. Kalijambe</t>
  </si>
  <si>
    <t>Kec. Plupuh</t>
  </si>
  <si>
    <t>Kec. Masaran</t>
  </si>
  <si>
    <t>Kec. Sidoharjo</t>
  </si>
  <si>
    <t>Kec. Tanon</t>
  </si>
  <si>
    <t>UPT DINAS PENDIDIKAN</t>
  </si>
  <si>
    <t xml:space="preserve">UPTD Pendidikan Kec. Sragen </t>
  </si>
  <si>
    <t>UPTD Pendidikan Kec. Karangmalang</t>
  </si>
  <si>
    <t>UPTD Pendidikan Kec. Kedawung</t>
  </si>
  <si>
    <t>UPTD Pendidikan Kec. Sambirejo</t>
  </si>
  <si>
    <t>UPTD Pendidikan Kec. Gondang</t>
  </si>
  <si>
    <t>UPTD Pendidikan Kec. Sambungmacan</t>
  </si>
  <si>
    <t>UPTD Pendidikan Kec. Ngrampal</t>
  </si>
  <si>
    <t>UPTD Pendidikan Kec. Tangen</t>
  </si>
  <si>
    <t>UPTD Pendidikan Kec. Jenar</t>
  </si>
  <si>
    <t>UPTD Pendidikan Kec. Gesi</t>
  </si>
  <si>
    <t>UPTD Pendidikan Kec. Sukodono</t>
  </si>
  <si>
    <t>UPTD Pendidikan Kec. Mondokan</t>
  </si>
  <si>
    <t>UPTD Pendidikan Kec. Sumberlawang</t>
  </si>
  <si>
    <t>UPTD Pendidikan Kec. Miri</t>
  </si>
  <si>
    <t>UPTD Pendidikan Kec. Gemolong</t>
  </si>
  <si>
    <t>UPTD Pendidikan Kec. Kalijambe</t>
  </si>
  <si>
    <t>UPTD Pendidikan Kec. Plupuh</t>
  </si>
  <si>
    <t>UPTD Pendidikan Kec. Masaran</t>
  </si>
  <si>
    <t>UPTD Pendidikan Kec. Sidoharjo</t>
  </si>
  <si>
    <t>UPTD Pendidikan Kec. Tanon</t>
  </si>
  <si>
    <t>VERTIKAL</t>
  </si>
  <si>
    <t>Badan Pertanahan Nasional</t>
  </si>
  <si>
    <t>Bina Marga</t>
  </si>
  <si>
    <t>Bank Jateng</t>
  </si>
  <si>
    <t>Bank Jateng Syariah</t>
  </si>
  <si>
    <t>Badan Pusat Statistik</t>
  </si>
  <si>
    <t>Kementerian Agama Sragen</t>
  </si>
  <si>
    <t>Kantor Pos Sragen</t>
  </si>
  <si>
    <t>Kejaksaan Negeri</t>
  </si>
  <si>
    <t>LP Sragen</t>
  </si>
  <si>
    <t>PD Percetakan Sragen</t>
  </si>
  <si>
    <t>PDAM Sragen</t>
  </si>
  <si>
    <t>Pengadilan Negeri</t>
  </si>
  <si>
    <t>PG Mojo Sragen</t>
  </si>
  <si>
    <t xml:space="preserve">PTG Raharjo Sragen/Baresos Raharjo </t>
  </si>
  <si>
    <t>RSUD DR Soeratno</t>
  </si>
  <si>
    <t>RSUD Soehadi Prijonegoro Sragen</t>
  </si>
  <si>
    <t>RUBASAN</t>
  </si>
  <si>
    <t>Samsat Sragen</t>
  </si>
  <si>
    <t xml:space="preserve">Polres Sragen </t>
  </si>
  <si>
    <t>BNI Syariah KCPS Sragen</t>
  </si>
  <si>
    <t>BPR Syariah Sragen</t>
  </si>
  <si>
    <t>KODIM Sragen</t>
  </si>
  <si>
    <t>Perusda</t>
  </si>
  <si>
    <t>PENDIDIKAN</t>
  </si>
  <si>
    <t>SMA N 1 Gemolong</t>
  </si>
  <si>
    <t>SMA N 1 Sambungmacan</t>
  </si>
  <si>
    <t>SMA N 1 Sragen</t>
  </si>
  <si>
    <t>SMA N 1 Sukodono</t>
  </si>
  <si>
    <t>SMA N 1 Sumberlawang</t>
  </si>
  <si>
    <t>SMA N 1 Tangen</t>
  </si>
  <si>
    <t>SMA N 2 Sragen</t>
  </si>
  <si>
    <t>SMK N 1 Kedawung</t>
  </si>
  <si>
    <t>SMK N 1 Sambirejo</t>
  </si>
  <si>
    <t>SMK N 1 Sragen</t>
  </si>
  <si>
    <t>SMK N 2 Sragen</t>
  </si>
  <si>
    <t>SMK N 1 Gondang</t>
  </si>
  <si>
    <t>SMP N 1 Gemolong</t>
  </si>
  <si>
    <t>SMP N 1 Gesi</t>
  </si>
  <si>
    <t>SMP N 1 Gondang</t>
  </si>
  <si>
    <t>SMP N 1 Karangmalang</t>
  </si>
  <si>
    <t>SMP N 1 Kedawung</t>
  </si>
  <si>
    <t>SMP N 1 Masaran</t>
  </si>
  <si>
    <t>SMP N 1 Miri</t>
  </si>
  <si>
    <t>SMP N 1 Mondokan</t>
  </si>
  <si>
    <t>SMP N 1 Sambirejo</t>
  </si>
  <si>
    <t>SMP N 1 Sambungmacan</t>
  </si>
  <si>
    <t>SMP N 1 Sidoharjo</t>
  </si>
  <si>
    <t>SMP N 1 Sragen</t>
  </si>
  <si>
    <t>SMP N 1 Sukodono</t>
  </si>
  <si>
    <t>SMP N 1 Sumberlawang</t>
  </si>
  <si>
    <t>SMP N 1 Tangen</t>
  </si>
  <si>
    <t>SMP N 1 Tanon</t>
  </si>
  <si>
    <t>SMP N 1 Kalijambe</t>
  </si>
  <si>
    <t>SMP N 2 Gemolong</t>
  </si>
  <si>
    <t>SMP N 2 Gondang</t>
  </si>
  <si>
    <t>SMP N 2 Karangmalang</t>
  </si>
  <si>
    <t>SMP N 2 Kedawung</t>
  </si>
  <si>
    <t>SMP N 2 Masaran</t>
  </si>
  <si>
    <t>SMP N 2 Ngrampal</t>
  </si>
  <si>
    <t>SMP N 2 Plupuh</t>
  </si>
  <si>
    <t>SMP N 2 Sambirejo</t>
  </si>
  <si>
    <t>SMP N 2 Sambungmacan</t>
  </si>
  <si>
    <t>SMP N 2 Sragen</t>
  </si>
  <si>
    <t>SMP N 2 Sidoharjo</t>
  </si>
  <si>
    <t>SMP N 2 Sumberlawang</t>
  </si>
  <si>
    <t>SMP N 2 Tangen</t>
  </si>
  <si>
    <t>SMP N 2 Tanon</t>
  </si>
  <si>
    <t>SMP N 3 Sragen</t>
  </si>
  <si>
    <t>MTS N Tanon</t>
  </si>
  <si>
    <t>MAN 1 Sragen</t>
  </si>
  <si>
    <t>MAN 2 Sragen</t>
  </si>
  <si>
    <t>MTS N Plupuh</t>
  </si>
  <si>
    <t>MTS N Sragen</t>
  </si>
  <si>
    <t>MTS N Gondang</t>
  </si>
  <si>
    <t>MTS N Gemolong</t>
  </si>
  <si>
    <t>SMP N 5 Sragen</t>
  </si>
  <si>
    <t>SMP N 6 Sragen</t>
  </si>
  <si>
    <t>SEKPRI SETDA</t>
  </si>
  <si>
    <t>Sekpri Setda</t>
  </si>
  <si>
    <t>MASJID</t>
  </si>
  <si>
    <t>Jami' Sukodono</t>
  </si>
  <si>
    <t>Besar Kauman</t>
  </si>
  <si>
    <t>LAIN-LAIN</t>
  </si>
  <si>
    <t>Kot. Infaq Idul Fitri/Idul Adha</t>
  </si>
  <si>
    <t>Setor Kembali Dana BAZ</t>
  </si>
  <si>
    <t>KJKS LES BAZ</t>
  </si>
  <si>
    <t>Umar mansur</t>
  </si>
  <si>
    <t>Sekar</t>
  </si>
  <si>
    <t>Agung Purwono</t>
  </si>
  <si>
    <t>Supriyanto</t>
  </si>
  <si>
    <t>Eyang Umar Banjarasri</t>
  </si>
  <si>
    <t>Darmono</t>
  </si>
  <si>
    <t>Pemindahbukuan antar rekening</t>
  </si>
  <si>
    <t>Ndari</t>
  </si>
  <si>
    <t>Slamet Supriya</t>
  </si>
  <si>
    <t>Mahmudi</t>
  </si>
  <si>
    <t xml:space="preserve">JUMLAH TOTAL </t>
  </si>
  <si>
    <t>REKAP PENGELUARAN  BADAN AMIL ZAKAT KAB. SRAGEN</t>
  </si>
  <si>
    <t>A</t>
  </si>
  <si>
    <t>URAIAN</t>
  </si>
  <si>
    <t>( Rp )</t>
  </si>
  <si>
    <t xml:space="preserve"> REKAP PENGELUARAN ZAKAT</t>
  </si>
  <si>
    <t>B</t>
  </si>
  <si>
    <t xml:space="preserve"> REKAP PENGELUARAN INFAQ</t>
  </si>
  <si>
    <t xml:space="preserve"> </t>
  </si>
  <si>
    <t>Ketua</t>
  </si>
  <si>
    <t>PER 31 DESEMBER 2016 &amp; 31 JANUARI 2017</t>
  </si>
  <si>
    <t>BULAN DESEMBER 2016</t>
  </si>
  <si>
    <t>BULAN JANUARI 2017</t>
  </si>
  <si>
    <t>Dinas Perindustrian dan Perdagangan</t>
  </si>
  <si>
    <t>Mustaqiem</t>
  </si>
  <si>
    <t>PER 31 JANUARI 2017</t>
  </si>
  <si>
    <t>a. Santunan penjaga masjid</t>
  </si>
  <si>
    <t>b. Santunan santri</t>
  </si>
  <si>
    <t>c. Insentif kyai</t>
  </si>
  <si>
    <t>d. Insentif ustadz</t>
  </si>
  <si>
    <t>a. Insentif ustadz</t>
  </si>
  <si>
    <t>Bantuan biaya tagihan Rumah Sakit Sragen a.n. Sugiyanto, Dk. Kotesan RT.18 Ds.Kecik Kec.Tanon</t>
  </si>
  <si>
    <t>Operasional pendistribusian dana zakat oleh KUA</t>
  </si>
  <si>
    <t>Bantuan dana kegiatan Penerimaan Peserta Didik Baru KB &amp; TKIU BAZSRA Sragen Tahun 2017/2018</t>
  </si>
  <si>
    <t>Pembuatan baliho (cetak MMT dan biaya pasang)</t>
  </si>
  <si>
    <t>Bantuan Mushaf Al-Qur'an dari takmir masjid Al-Amirin Setda Kabupaten Sragen</t>
  </si>
  <si>
    <t xml:space="preserve">                     Sragen, 31 Januari 2017</t>
  </si>
  <si>
    <t>Rahmadi</t>
  </si>
  <si>
    <t>Suparlan</t>
  </si>
  <si>
    <t>Mity Olshop</t>
  </si>
  <si>
    <t xml:space="preserve">Hamba Allah BPD </t>
  </si>
  <si>
    <t>Hamba Allah BPD Syariah</t>
  </si>
  <si>
    <t>Hamba Allah BRI</t>
  </si>
  <si>
    <t>Hamba Allah Mandiri Syariah</t>
  </si>
  <si>
    <t>Hamba Allah Tunai</t>
  </si>
  <si>
    <t>Iwan Purwanto Sudjal</t>
  </si>
  <si>
    <t>Ibnu Sabil</t>
  </si>
  <si>
    <t>Amil Peningkatan SDM (Rapat Pimpinan BAZNAS)</t>
  </si>
  <si>
    <t>Amil Operasional Rapat</t>
  </si>
  <si>
    <t>DKBPMD</t>
  </si>
  <si>
    <t>Dinas Lingkungan Hidup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</si>
  <si>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</si>
  <si>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Operasional Ambulan</t>
  </si>
  <si>
    <t>Dinas Ketahan Pangan</t>
  </si>
  <si>
    <t>Badan Kepegawaian Pendidikan dan Pelatihan</t>
  </si>
  <si>
    <t>PER 31 JANUARI &amp; 28 FEBRUARI 2017</t>
  </si>
  <si>
    <t>BULAN FEBRUARI</t>
  </si>
  <si>
    <t xml:space="preserve">BULAN JANUARI </t>
  </si>
  <si>
    <t>PER 28 FEBRUARI 2017</t>
  </si>
  <si>
    <t xml:space="preserve">                     Sragen, 28 Februari 2017</t>
  </si>
  <si>
    <t>Dinas PPKB PPPA</t>
  </si>
  <si>
    <t>Bagian Perekonomian</t>
  </si>
  <si>
    <t>Dinas Kominfo</t>
  </si>
  <si>
    <t xml:space="preserve">Dinas Perhubungan </t>
  </si>
  <si>
    <t>Dinas Pariwisata dan Olahraga</t>
  </si>
  <si>
    <t>Umar Mansur</t>
  </si>
  <si>
    <t>SMP N 4 Sragen</t>
  </si>
  <si>
    <t>SMP N Satu Atap 3 Sambirejo</t>
  </si>
  <si>
    <t>Bagian Pemerintahan</t>
  </si>
  <si>
    <t>Bagian Pemerintahan Desa</t>
  </si>
  <si>
    <t>Ass Pemerintahan</t>
  </si>
  <si>
    <t xml:space="preserve">PSDG Raharjo Sragen/Baresos Raharjo </t>
  </si>
  <si>
    <t>DPMPTSP</t>
  </si>
  <si>
    <t>Dinas Koperasi dan UKM</t>
  </si>
  <si>
    <t>Koreksi Mutasi</t>
  </si>
  <si>
    <t>Dinas Pendidikan dan Kebudayaan</t>
  </si>
  <si>
    <t>Hamba Allah BNI Syariah</t>
  </si>
  <si>
    <t xml:space="preserve">Bantuan Tanggap Musibah </t>
  </si>
  <si>
    <t>a. Kebakaran rumah warga a.n. Majid Amirudin, Dk. Ngumbul RT. 03/01 Kel. Tegalombo Kec. Kalijambe</t>
  </si>
  <si>
    <t xml:space="preserve">b. Bantuan untuk korban banjir berupa sembako untuk 6 KK di Dk. Bapang RT.4 Ds. Bukuran Kec. Kalijambe </t>
  </si>
  <si>
    <t xml:space="preserve">    masing-masing Rp. 100.000,-</t>
  </si>
  <si>
    <t>Operasional BAZNAS meliputi:</t>
  </si>
  <si>
    <t>a. Operasional bulan Januari 2017</t>
  </si>
  <si>
    <t>b. Gaji karyawan bulan Januari 2017</t>
  </si>
  <si>
    <t>Kegiatan Keagamaan Kemasyarakatan :</t>
  </si>
  <si>
    <t xml:space="preserve">a. Donatur acara Seminar Parenting orangtua/ wali PAUD </t>
  </si>
  <si>
    <t>b. Bantuan dana untuk mahasiswa STIT Madina Sragen dalam rangka kegiatan KKN di Kecamatan Miri</t>
  </si>
  <si>
    <t>c. Donatur acara Konferensi Cabang PC IPNU Kabupaten Sragen Tahun 2017</t>
  </si>
  <si>
    <t>Wakil Ketua II</t>
  </si>
  <si>
    <t xml:space="preserve">    Drs. H. Mahmudi, M.Ag.</t>
  </si>
  <si>
    <t>Perbaikan RTLH satu unit untuk Bp. Sumarlan, Dk. Distrikan RT.3/III Kel. Gemolong Kec. Gemolong</t>
  </si>
  <si>
    <t>c. Kebakaran rumah warga a.n.Suyati, Dk. Margomulyo RT. 13 Ds. Jono Kec. Tanon</t>
  </si>
  <si>
    <t>a. Gaji Karyawan bulan Februari 2017</t>
  </si>
  <si>
    <t>b. Kekurangan bayar honor a.n. Novianto</t>
  </si>
  <si>
    <t>Bantuan biaya pendampingan pengobatan:</t>
  </si>
  <si>
    <t>a. Sulami, Dk.Selorejo Lor Ds.Mojokerto Kec.Kedawung</t>
  </si>
  <si>
    <t>b. Rodiyah, Dk.Watubucu RT.20 Ds.Jeruk Kec.Miri</t>
  </si>
  <si>
    <t>c. Darto Wiyono, Dk.Gawan RT.13 Tanon</t>
  </si>
  <si>
    <t>d. Kclara Nur F. anak dari Andi Santoso, Bagan RT.2/1 Ds.Nglorog</t>
  </si>
  <si>
    <t>Bantuan Tanggap Musibah:</t>
  </si>
  <si>
    <t>a. Tanggap Musibah tanah longsor a.n. Suyono Cipto Wiyono Dk.Srimulyo RT.32 Ds.Sambi Kec.Sambirejo</t>
  </si>
  <si>
    <t>b. Tanggap Musibah Kebakaran a.n. Sarinem, Dk.Patihan RT.8 Ds.Gabugan Kec.Tanon</t>
  </si>
  <si>
    <t>Beasiswa Mahasiswa Asuh a.n. Muhammad Nur Azhar</t>
  </si>
  <si>
    <t>a. Operasional Bulan Februari 2017</t>
  </si>
  <si>
    <t>b. BPJS Kesehatan</t>
  </si>
  <si>
    <t>c. BPJS Ketenagakerjaan</t>
  </si>
  <si>
    <t>a. Perbaikan Komputer</t>
  </si>
  <si>
    <t>b. Perbaikan AC ruang atas</t>
  </si>
  <si>
    <t>c. Beli tanaman Outdoor</t>
  </si>
  <si>
    <t>a. Perbaikan Baliho BAZNAS di Pungkruk</t>
  </si>
  <si>
    <t>b. Cetak dan pasang Baliho depan kantor BAZNAS Sragen</t>
  </si>
  <si>
    <t>Dana operasional Ambulan</t>
  </si>
  <si>
    <t>Bantuan kegiatan keagamaan kemasyarakatan:</t>
  </si>
  <si>
    <t>c. Acara Manasik Haji bersama wali murid HIMPAUDI Kec.Sidoharjo</t>
  </si>
  <si>
    <t>b. Kegiatan "Gelar Generasi Rabbani V" oleh JSIT Sragen Divisi PAUD</t>
  </si>
  <si>
    <t>a. Lomba Tahfidz &amp; Mewarnai tingkat TK &amp; SD yang diadakan oleh Yayasan Darul Qur'an Cabang Sragen</t>
  </si>
  <si>
    <t>Kontribusi peserta World Zakat Forum Conference 2017 di Jakarta</t>
  </si>
  <si>
    <t>Pembuatan &amp; Pemeliharaan Baliho BAZNAS:</t>
  </si>
  <si>
    <t>Operasional Pelaksanaan Program BAZNAS:</t>
  </si>
  <si>
    <t>d. Pembuatan Vandel</t>
  </si>
  <si>
    <t>e. Pembuatan Kartu Nama</t>
  </si>
  <si>
    <t>Pemeliharaan dan Penambahan Sarpras BAZNAS:</t>
  </si>
  <si>
    <t>f.  Pembayaran hosting website</t>
  </si>
  <si>
    <t>PER 28 FEBRUARI &amp; 31 MARET 2017</t>
  </si>
  <si>
    <t>BULAN MARET</t>
  </si>
  <si>
    <t>PER 31 MARET 2017</t>
  </si>
  <si>
    <t xml:space="preserve">                     Sragen, 31 Maret 2017</t>
  </si>
  <si>
    <t>BPPKAD</t>
  </si>
  <si>
    <t>April Setyawan</t>
  </si>
  <si>
    <t>Aris Wibowo</t>
  </si>
  <si>
    <t>Mulyono Raharjo</t>
  </si>
  <si>
    <t>Dinas Arsip dan Perpustakaan</t>
  </si>
  <si>
    <t>BAPPEDA Litbang</t>
  </si>
  <si>
    <t>Dinas Ketahanan Pangan</t>
  </si>
  <si>
    <t>Dinas Pekerjaan Umum dan Penataan Ruang</t>
  </si>
  <si>
    <t>Dinas Perumahan dan Kawasan Permukiman</t>
  </si>
  <si>
    <t>Tanggap Musibah:</t>
  </si>
  <si>
    <t>a. Korban kebakaran rumah a.n Hasyim, Dk.Sumberejo RT.4 Gilirejo Baru, Miri</t>
  </si>
  <si>
    <t>a. Konfercab VII Pimpinan Cabang IPNU Kab. Sragen</t>
  </si>
  <si>
    <t>Pembangunan Masjid:</t>
  </si>
  <si>
    <t>Perbaikan Kubah Masjid Al-Munawaroh Ds.Sambirembe Kec.Kalijambe</t>
  </si>
  <si>
    <t>Pelaksanaan Program BAZNAS:</t>
  </si>
  <si>
    <t>a. Uang saku peserta World Zakat Forum Conference (WZFC) 2017 di Jakarta Pusat</t>
  </si>
  <si>
    <t>b. Pembayaran tiket pesawat untuk acara WZFC 2017 (PP)</t>
  </si>
  <si>
    <t>Pembuatan seragam batik untuk pimpinan dan pelaksana BAZNAS</t>
  </si>
  <si>
    <t>Pemeliharaan dan penambahan sarana dan prasarana BAZNAS:</t>
  </si>
  <si>
    <t>a. Perbaikan Printer</t>
  </si>
  <si>
    <t>b. Penambahan daya listrik sebesar 2000 W</t>
  </si>
  <si>
    <t>c. Pembelian Korden</t>
  </si>
  <si>
    <t>Dana Operasional Ambulan</t>
  </si>
  <si>
    <t>c. Transport untuk kegiatan Orientasi Peningkatan SDM Amil oleh Kanwil</t>
  </si>
  <si>
    <t>Kegiatan Keagamaan Kemasyarakatan:</t>
  </si>
  <si>
    <t>b. Donasi Baksos oleh alumni MTs N Sumberlawang</t>
  </si>
  <si>
    <t>c. Kegiatan Silaturrahmi ustadz Badko TPQ Kec. Gemolong</t>
  </si>
  <si>
    <t>b. Rumah roboh karena angin ribut a.n. Sarimin, Kecik Tanon</t>
  </si>
  <si>
    <t>c. Rumah roboh rusak ringan a.n. Paino, Kecik Tanon</t>
  </si>
  <si>
    <t>d. Menghadiri Kegiatan ZCP di Yogyakarta</t>
  </si>
  <si>
    <t>d. Seminar Pendidikan oleh FKPAI Mondokan</t>
  </si>
  <si>
    <t>e. Pengajian Akbar oleh SMA N 3 Sragen</t>
  </si>
  <si>
    <t>Operasional BAZNAS, meliputi:</t>
  </si>
  <si>
    <t>a. Gaji Karyawan Bulan Maret</t>
  </si>
  <si>
    <t>INFAQ</t>
  </si>
  <si>
    <t>a. Operasional Bulan Maret</t>
  </si>
  <si>
    <t>b. BPJS Kesehatan dan Ketenagakerjaan</t>
  </si>
  <si>
    <t>PER 31 MARET &amp; 30 APRIL 2017</t>
  </si>
  <si>
    <t>BULAN APRIL</t>
  </si>
  <si>
    <t>PER 30 APRIL 2017</t>
  </si>
  <si>
    <t xml:space="preserve">                     Sragen, 30 April 2017</t>
  </si>
  <si>
    <t xml:space="preserve">                                                                                                                                                                   c</t>
  </si>
  <si>
    <t>Wakil Ketua III</t>
  </si>
  <si>
    <t>Drs. Sukarman</t>
  </si>
  <si>
    <t xml:space="preserve">dr. H. Untung Mardikanto, MMR </t>
  </si>
  <si>
    <t>f.  Pengurukan Seribu Lubang di Kecamatan Ngrampal</t>
  </si>
  <si>
    <t>d. Perbaikan Gedung BAZNAS</t>
  </si>
  <si>
    <t>Krisna Adhi N</t>
  </si>
  <si>
    <t>Eyang Umar</t>
  </si>
  <si>
    <t>Djaidi</t>
  </si>
  <si>
    <t>a. Gaji karyawan Bulan April</t>
  </si>
  <si>
    <t>Santunan santri :</t>
  </si>
  <si>
    <t>Santunan Penjaga Masjid:</t>
  </si>
  <si>
    <t>Ibnu sabil</t>
  </si>
  <si>
    <t>a. Operasional Bulan April</t>
  </si>
  <si>
    <t>b. BPJS</t>
  </si>
  <si>
    <t>Pos Kegiatan Keagamaan:</t>
  </si>
  <si>
    <t>a. Sponsorship Website simpelwakaf-sragen.com</t>
  </si>
  <si>
    <t>Pos pemeliharaan dan penambahan sarana dan prasarana BAZNAS:</t>
  </si>
  <si>
    <t>a. Penambahan seragam batik (kain dan ongkos jahit)</t>
  </si>
  <si>
    <t>b. Name Tag</t>
  </si>
  <si>
    <t>b. Pengajian Akbar dan Pelantikan PCNU Kab.Sragen</t>
  </si>
  <si>
    <t>c. Munajad Rotib Al-Hadad dalam rangka memperingati hari Isro' Mi'roj di Ds.Jambanan</t>
  </si>
  <si>
    <t>Pos Pelaksanaan Program BAZNAS:</t>
  </si>
  <si>
    <t>a. Uang transport Narasumber Sosialisasi Zakat di Salatiga</t>
  </si>
  <si>
    <t>b. Uang transport Penerimaan Studi Banding DPRD Pemalang di Sragen</t>
  </si>
  <si>
    <t>c. Uang transport Monitoring KB &amp; TKIU BAZSRA</t>
  </si>
  <si>
    <t>d. Uang transport Upacara pembukaan Karya Bhakti di KODIM</t>
  </si>
  <si>
    <t>e. Uang transport Rapat Koordinasi Karya Bhakti TNI</t>
  </si>
  <si>
    <t>d. MABIT di Masjid Raya Al-Falah</t>
  </si>
  <si>
    <t>Ageng Winayu</t>
  </si>
  <si>
    <t>Pendampingan biaya pengobatan:</t>
  </si>
  <si>
    <t>BULAN MEI</t>
  </si>
  <si>
    <t>PER 31 MEI 2017</t>
  </si>
  <si>
    <t xml:space="preserve">                     Sragen, 31 Mei 2017</t>
  </si>
  <si>
    <t>Krisna BPD Syariah</t>
  </si>
  <si>
    <t>Teguh Triyono</t>
  </si>
  <si>
    <t>a. Operasional Bulan Mei 2017</t>
  </si>
  <si>
    <t>Pos Pelaksanaan Program dan Pentasharufan BAZNAS:</t>
  </si>
  <si>
    <t>a. Monitoring Evaluasi dari Kanwil Semarang</t>
  </si>
  <si>
    <t>Studi Banding ke BAZNAS Surabaya</t>
  </si>
  <si>
    <t>Fii Sabilillaah:</t>
  </si>
  <si>
    <t>Santunan Keluarga Miskin:</t>
  </si>
  <si>
    <t>Pos Kegiatan Keagamaan Kemasyarakatan:</t>
  </si>
  <si>
    <t>b. Pengajian Akbar Peringatan Hari Jadi Sragen 271 di Lapangan Gemolong</t>
  </si>
  <si>
    <t>Bantuan peralatan shalat bagi Masjid</t>
  </si>
  <si>
    <t>b. Uang saku peserta BINTEK RKAT di Surakarta</t>
  </si>
  <si>
    <t>c. Transport Narasumber Seminar di IAIN Surakarta</t>
  </si>
  <si>
    <t>Pos Iklan, Talkshow &amp; Rubrik:</t>
  </si>
  <si>
    <t>b. Cetak Jadwal Imsakiyyah</t>
  </si>
  <si>
    <t>c. Penerimaan Studi Banding dari BAZNAS Gunung Kidul</t>
  </si>
  <si>
    <t>d. Penerimaan Studi Banding dari BAZNAS Kota Bekasi</t>
  </si>
  <si>
    <t>e. Penerimaan Studi Banding dari BAZNAS Temanggung</t>
  </si>
  <si>
    <t xml:space="preserve">f. Penerimaan Studi Banding dari BAZNAS Grobogan </t>
  </si>
  <si>
    <t>Pos Pembagian Ta'jil dan Sembako untuk masyarakat sekitar Masjid BAZIS:</t>
  </si>
  <si>
    <t>a. Ta'jil 180 bungkus</t>
  </si>
  <si>
    <t>b. Sembako 80 paket</t>
  </si>
  <si>
    <t>Gaji karyawan Bulan Mei 2017</t>
  </si>
  <si>
    <t>PER  30 APRIL  &amp;  31 MEI  2017</t>
  </si>
  <si>
    <t>PER  31 MEI  &amp;  30 JUNI  2017</t>
  </si>
  <si>
    <t xml:space="preserve">                     Sragen, 30 Juni 2017</t>
  </si>
  <si>
    <t>Heni Setyowati</t>
  </si>
  <si>
    <t>Mustaqim</t>
  </si>
  <si>
    <t>Edi Suyatno</t>
  </si>
  <si>
    <t>Suharno</t>
  </si>
  <si>
    <t>NN</t>
  </si>
  <si>
    <t>Idha S</t>
  </si>
  <si>
    <t>a. a.n. Parjo Dk.Ngrombo Sunggingan Miri</t>
  </si>
  <si>
    <t>b. a.n. Marsiyem, Ngledok RT.2 Sragen</t>
  </si>
  <si>
    <t>c. a.n. Riki Pratama, Gemolong</t>
  </si>
  <si>
    <t>a. a.n. Ibu Karmi Dk. Karangmalang RT.20 Ds.Puro Kec.Karangmalang</t>
  </si>
  <si>
    <t>Bantuan perbaikan Rumah Tidak Layak Huni (RTLH) dan Jambanisasi dalam TMMD Kodim:</t>
  </si>
  <si>
    <t>b. a.n. Jumadiyono Karangmalang</t>
  </si>
  <si>
    <t>f. Kontribusi Peserta Pelatihan Akuntansi Zakat berbasis PSAK 109 se-Jawa Tengah di UNS</t>
  </si>
  <si>
    <t>g. Uang transport Peserta Pelatihan Akuntansi Zakat</t>
  </si>
  <si>
    <t>Dinas Permukiman</t>
  </si>
  <si>
    <t>DPMD</t>
  </si>
  <si>
    <t>Bagian Pemerintahan dan Pertahanan</t>
  </si>
  <si>
    <t>PER 30 JUNI 2017</t>
  </si>
  <si>
    <t>a. Talkshow dan iklan BAZNAS Sragen di Radio Buana Asri FM</t>
  </si>
  <si>
    <t>Insentif SDM Masjid &amp; TKIU BAZSRA</t>
  </si>
  <si>
    <t>Operasional Pelaksanaan Program dan Pentasharufan:</t>
  </si>
  <si>
    <t>Bantuan Perbaikan Rumah Tidak Layak Huni (RTLH):</t>
  </si>
  <si>
    <t>a.n. Asnah, Dk.Kedungringin RT.6 Ds.Soko Kec.Miri</t>
  </si>
  <si>
    <t>a. Donasi Bhaksos Ramadhan 1438 H Kel.Plumbungan Kec.Karangmalang</t>
  </si>
  <si>
    <t>a. Kegiatan Safari Ramadhan, Pembagian Ta'jil, dan Insentif SDM Masjid dan TKIU BAZSRA</t>
  </si>
  <si>
    <t>b. Transport menghadiri TMMD di lapangan Genengduwur Kec.Gemolong</t>
  </si>
  <si>
    <t>c. Dana sablon dan bordir mukena, sarung, dan sajadah</t>
  </si>
  <si>
    <t>c. THR Karyawan BAZNAS</t>
  </si>
  <si>
    <t>a. Pengobatan a.n. Harto, Dk.Bulak RT.3 Karangjati kec.Kalijambe</t>
  </si>
  <si>
    <t>b. Kegiatan Ramadhan Ceria Al-Hidayah, Nganti RT.4 Gemolong</t>
  </si>
  <si>
    <t>1.500 mustahiq @ Rp.100.000,-</t>
  </si>
  <si>
    <t>a. Kementerian Agama Sragen</t>
  </si>
  <si>
    <t>b. MTS N Tanon</t>
  </si>
  <si>
    <t>c. MTS N Gemolong</t>
  </si>
  <si>
    <t>d. MTS N Plupuh</t>
  </si>
  <si>
    <t>e. MTS N Gondang</t>
  </si>
  <si>
    <t>f. MTS N Sragen</t>
  </si>
  <si>
    <t>g. MAN 1 Sragen</t>
  </si>
  <si>
    <t>h. MAN 2 Sragen</t>
  </si>
  <si>
    <t>i. Masjid Jami' Sukodono</t>
  </si>
  <si>
    <t>j. Masjid Kauman</t>
  </si>
  <si>
    <t>Bantuan ORMAS Islam (NU, Muhammadiyah, LDII, MTA)</t>
  </si>
  <si>
    <t>Bantuan Operasional MUI</t>
  </si>
  <si>
    <t>UPZIS Zakat untuk 115 UPZ</t>
  </si>
  <si>
    <t>Amil Tahunan</t>
  </si>
  <si>
    <t>UPZIS Infaq untuk 115 UPZ</t>
  </si>
  <si>
    <t>d. Kegiatan Pentasharufan UPZ di Pendopo Sragen</t>
  </si>
  <si>
    <t xml:space="preserve">Bantuan beasiswa a.n. Endah Puspitasari, Perum Widoro Asri II, Widoro RT.41/12 Sragen </t>
  </si>
  <si>
    <t>Bantuan Ekonomi Produktif a.n. Supardi, Gandu Karangtengah Sragen</t>
  </si>
  <si>
    <t>Bantuan Modal Usaha Dhuafa a.n. Sugiyanti, Karanglegi RT.2/6 Tangkil Sragen</t>
  </si>
  <si>
    <t>e. Kegiatan Penyelenggaraan Shalat Idul Fitri 1438 H/2017 M</t>
  </si>
  <si>
    <t>f. Cetak stiker RTLH</t>
  </si>
  <si>
    <t>g. Dana Transport pengurus dan pelaksana menghadiri Safari Ramadhan bersama Bupati Sragen</t>
  </si>
  <si>
    <t>a. Operasional Bulan Juni 2017</t>
  </si>
  <si>
    <t>Bantuan perbaikan Rumah Tidak Layak Huni (RTLH) :</t>
  </si>
  <si>
    <t>Santunan keluarga miskin berupa:</t>
  </si>
  <si>
    <t>Bantuan Modal Usaha Dhuafa, a.n. Simpen, Dk.Bedowo RT.2/7 Ds.Jetak Sidoharjo</t>
  </si>
  <si>
    <t>a. Panti Asuhan Aisiyah Putri, a.n. Winda, Jl.Jawa No.4 Sarigunan Sragen Tengah</t>
  </si>
  <si>
    <t>b. Ponpes Walisongo, a.n. Aditya Kamandanu, Dk.Sungkul RT.12 Plumbungan Karangmalang</t>
  </si>
  <si>
    <t>a. Masjid Al-Falah, a.n. Widodo</t>
  </si>
  <si>
    <t>b. Masjid Kauman, a.n. Giyarto</t>
  </si>
  <si>
    <t>b. 25 paket sembako dalam acara Tilik Kembang Desa di desa Ngargosari Kec.Sumberlawang</t>
  </si>
  <si>
    <t xml:space="preserve">a. Pajak Bumi dan Bangunan </t>
  </si>
  <si>
    <t>c. 25 paket sembako dalam acara Tilik Kembang Desa di desa Sepat Kec.Masaran</t>
  </si>
  <si>
    <t>a. 25 paket sembako dalam acara Tilik Kembang Desa di desa Sambirejo Kec.Sambirejo</t>
  </si>
  <si>
    <t>h. Uang transport Narasumber Pelatihan Singkat Manajemen Zakat di Semarang</t>
  </si>
  <si>
    <t>i. Cutting stiker plastik bungkus sembako acara Tilik Kembang Desa</t>
  </si>
  <si>
    <t>j. Pulsa Komunikasi untuk acara pentasharufan zakat di Pendopo Rumah Dinas Bupati Sragen</t>
  </si>
  <si>
    <t>Sertifikasi tanah wakaf untuk 41 penerima dan pengukuran arah kiblat untuk 7 masjid</t>
  </si>
  <si>
    <t>a. 25 paket sembako dalam acara Tilik Kembang Desa di desa Purworejo Kec.Gemolong</t>
  </si>
  <si>
    <t>b. 25 paket sembako dalam acara Tilik Kembang Desa di desa Srimulyo Kec.Gondang</t>
  </si>
  <si>
    <t xml:space="preserve">c. Pentasharufan 1.000 paket sembako untuk 1.000 orang </t>
  </si>
  <si>
    <t>Sembako Ramadhan sebanyak 1.000 paket untuk 1.000 orang @ Rp. 50.000,-</t>
  </si>
  <si>
    <t>a. a.n. Harno, Dk.Sambirobyong Rt.10 Ds. Ngargosari Kec.Sumberlawang dalam acara Tilik Kembang Desa</t>
  </si>
  <si>
    <t>b. a.n. Purwanto, Dk.Pilangbangu RT.19 Sepat Masaran dalam acara Tilik Kembang Desa</t>
  </si>
  <si>
    <t xml:space="preserve">c. a.n. Tugiyem Dk.Alaskobong Rt.17 Ds.Ngargotirto Kec.Sumberlawang </t>
  </si>
  <si>
    <t>a. a.n. Sukiman, Dk.Kobar RT.4/1 Ds.Purworejo Gemolong dalam acara Tilik Kembang Desa</t>
  </si>
  <si>
    <t>b. a.n. Samin RT.13 Dk.Asri Srimulyo Kec.Gondang dalam acara Tilik Kembang Desa</t>
  </si>
  <si>
    <t>Rapat Koordinasi dengan LAZ se-Kabupaten Sragen di Aula Kankemenag Sragen</t>
  </si>
  <si>
    <t>d. Pengadaan Tas Sembako (2600 pcs) @ Rp. 3.000,-</t>
  </si>
  <si>
    <t>a. Biaya Operasional Penyelenggaraan (BOP) FKPP Kab. Sragen</t>
  </si>
  <si>
    <t>c. MABIT Dewan Pimpinan Daerah ITMI Kab. Sragen</t>
  </si>
  <si>
    <t>BULAN JUNI</t>
  </si>
  <si>
    <t>PER  30 JUNI  &amp;  31  JULI  2017</t>
  </si>
  <si>
    <t>BULAN JULI</t>
  </si>
  <si>
    <t>Marwan Sukomarto</t>
  </si>
  <si>
    <t>MTS N Kalijambe</t>
  </si>
  <si>
    <t>Sudarwati</t>
  </si>
  <si>
    <t>Ibu Hendri</t>
  </si>
  <si>
    <t>Ny Suryanto</t>
  </si>
  <si>
    <t>Wiwik Darwati</t>
  </si>
  <si>
    <t>PER 30 JULI 2017</t>
  </si>
  <si>
    <t>a. Operasional Bulan Juli 2017</t>
  </si>
  <si>
    <t>Gaji karyawan Bulan Juni 2017</t>
  </si>
  <si>
    <t>Gaji karyawan Bulan Juli 2017</t>
  </si>
  <si>
    <t>a. Kegiatan selama Bulan Ramadhan untuk Pondok Islamic Center / Panti Asuhan Taqwa, Nglorog Sragen</t>
  </si>
  <si>
    <t>Bantuan Jambanisasi:</t>
  </si>
  <si>
    <t>Bantuan Operasional Rawat Inap Keluarga Miskin:</t>
  </si>
  <si>
    <t>b. Pengobatan Penyakit Kanker Hati a.n. Aisya I.M. Dk.Ngaringrejo Newung Sukodono</t>
  </si>
  <si>
    <t>c. Kegiatan Komunitas Mahasiswa Sragen (KMS) Life in 2017 Regional Yogyakarta di Sambiduwur Tanon</t>
  </si>
  <si>
    <t>d. Kegiatan FORTASI (Forum Ta'aruf dan Orientasi Siswa) oleh Ikatan Pelajar Muhammadiyah Sragen</t>
  </si>
  <si>
    <t>Pos Operasional Pemeliharaan dan Penambahan Sarana dan Prasarana BAZNAS:</t>
  </si>
  <si>
    <t>c. Pengobatan Sakut Jantung a.n. Hasna, Dk.Sarirejo Ds.Jenggrik Kedawung</t>
  </si>
  <si>
    <t>d. Biaya bersalin a.n. Iva Dwi H. Dk. Bugangin Pilangsari Ngrampal</t>
  </si>
  <si>
    <t>UPZIS BKBPMD dan PPKBPPPA Kabupaten Sragen</t>
  </si>
  <si>
    <t>Sragen, 31 Juli 2017</t>
  </si>
  <si>
    <t>PER  31  JULI  &amp;  31 AGUSTUS 2017</t>
  </si>
  <si>
    <t>BULAN AGUSTUS</t>
  </si>
  <si>
    <t>Sragen, 31 Agustus 2017</t>
  </si>
  <si>
    <t>b. Biaya Rubrikasi di Solopos</t>
  </si>
  <si>
    <r>
      <t xml:space="preserve">c. Honor pemateri </t>
    </r>
    <r>
      <rPr>
        <i/>
        <sz val="10"/>
        <color indexed="8"/>
        <rFont val="Arial"/>
        <family val="2"/>
      </rPr>
      <t>Brand Content</t>
    </r>
    <r>
      <rPr>
        <sz val="10"/>
        <color indexed="8"/>
        <rFont val="Arial"/>
        <family val="2"/>
      </rPr>
      <t xml:space="preserve"> di Solopos</t>
    </r>
  </si>
  <si>
    <t>Sri Rochmaningsih</t>
  </si>
  <si>
    <t>Shilfia</t>
  </si>
  <si>
    <t>Yana Widia</t>
  </si>
  <si>
    <t>Novianto</t>
  </si>
  <si>
    <t>Ahmad Ulin Nur Hafsun</t>
  </si>
  <si>
    <t>PONDOK PESANTREN</t>
  </si>
  <si>
    <t>Daarul Quran</t>
  </si>
  <si>
    <t>Kartiyem</t>
  </si>
  <si>
    <t>Dewi Purwantiningsih</t>
  </si>
  <si>
    <t>Yuli Armitasari</t>
  </si>
  <si>
    <t>Ira Trisnawati</t>
  </si>
  <si>
    <t>Bambang Suryanto</t>
  </si>
  <si>
    <t>PER 31 AGUSTUS 2017</t>
  </si>
  <si>
    <t>Gaji karyawan Bulan Agustus 2017</t>
  </si>
  <si>
    <t>a. Pengajian Khataman dan Haul Ponpes An-Najah Gondang</t>
  </si>
  <si>
    <t xml:space="preserve">b. Pemberian Makanan Tambahan (PMT) bagi anak dengan HIV &amp; AIDS oleh KDS dan Yayasan SPASI </t>
  </si>
  <si>
    <t xml:space="preserve">    Dk.Ledok RT.6 Mojorejo Karangmalang</t>
  </si>
  <si>
    <t>c. Sewa Pick Up untuk mengantar terpal ke Ponpes An-Najah Gondang</t>
  </si>
  <si>
    <t>d. Dana cuci terpal sebanyak 34 terpal</t>
  </si>
  <si>
    <t>c. Menerima Kunjungan Studi Banding dari BAZNAS Kab.Lombak Barat dan BAZNAS Kab.Batang</t>
  </si>
  <si>
    <t>Pos Operasional Pelaksanaan Program dan Pentasharufan:</t>
  </si>
  <si>
    <t>a. Kegiatan Pelatihan Pembuatan Laporan Keuangan berbasis PSAK 109 di BAZNAS Sragen</t>
  </si>
  <si>
    <t>b. Transport Workshop SIMZAT di Syariah Hotel Solo</t>
  </si>
  <si>
    <t>c. Penerimaan Studi Banding dari BAZNAS Banyumas</t>
  </si>
  <si>
    <t>e. Biaya keikutsertaan BAZNAS Awards tahun 2017</t>
  </si>
  <si>
    <t>a. Biaya cek komputer</t>
  </si>
  <si>
    <t>e. Kerjasama Pelaksanaan Qurban dengan POKJALUH Kemenag Sragen</t>
  </si>
  <si>
    <t>f. Bantuan dana Qurban Yayasan Muslimah Mandiri "Melati Harapan" Ngemplakrejo RT.12 A Karangmalang Masaran</t>
  </si>
  <si>
    <t>f. Operasional menyiapkan materi BAZNAS Awards 2017</t>
  </si>
  <si>
    <t>g. Penggeseran letak baliho di Tunjungan</t>
  </si>
  <si>
    <t xml:space="preserve">g. Dana untuk kerja mandiri dan pembelian kursi roda dari Dewan Pimpinan Penyandang Cacat Paraplegia Indonesia </t>
  </si>
  <si>
    <t xml:space="preserve">    EX. RC. Prof. Dr. Soeharso - Surakarta</t>
  </si>
  <si>
    <t>a. A.n. Jomo, Dk.Trumun RT.10 Galeh acara TNI Manunggal Membangun Desa (TMMD) di Lapangan Galeh Tangen</t>
  </si>
  <si>
    <t>a.n. Juwardi, Dk.Keras RT.5 Galeh acara TNI Manunggal Membangun Desa (TMMD) di Lapangan Galeh Tangen</t>
  </si>
  <si>
    <t>b. 1 unit RTLH dalam acara TKD di Tenggak Sidoharjo</t>
  </si>
  <si>
    <t>h. Kegiatan Tabligh Akbar oleh DPD Ikatan Tunanetra Muslim Indonesia, Mojowetan Sragen</t>
  </si>
  <si>
    <t>i. Kegiatan Bhaksos Qurban oleh KB dan TKIU BAZSRA</t>
  </si>
  <si>
    <t>b. Pengadaan papan tulis</t>
  </si>
  <si>
    <t>Kebakaran rumah a.n. Sulasto, Dk.Brangkal RT.5/2 Brangkal Gemolong</t>
  </si>
  <si>
    <t>j. Pengadaan peralatan untuk Tim Satgas Penata Shof Shalat Idul Adha (Rompi, TOA dan Transport)</t>
  </si>
  <si>
    <t>i. Terima Kunjungan Studi Banding dari BAZNAS Banjarmasin</t>
  </si>
  <si>
    <t>c. Servis Komputer</t>
  </si>
  <si>
    <t>d. Servis Ambulan</t>
  </si>
  <si>
    <t>Bantuan 50 paket sembako dalam acara Tilik Kembang Desa di Tenggak Sidoharjo</t>
  </si>
  <si>
    <t>Setor Kembali</t>
  </si>
  <si>
    <t>DANA HIBAH</t>
  </si>
  <si>
    <t>APBD Kabupaten Sragen</t>
  </si>
  <si>
    <t>a. 2 unit RTLH dalam acara TMMD di Lapangan Patihan Sidoharjo</t>
  </si>
  <si>
    <t>2 unit jamban dalam acara TMMD di Lapangan Patihan Sidoharjo</t>
  </si>
  <si>
    <t>e. Perbaikan Baliho roboh di Jetak Sidoharjo</t>
  </si>
  <si>
    <t>PER  31 AGUSTUS  &amp;  30 SEPTEMBER  2017</t>
  </si>
  <si>
    <t>BULAN SEPTEMBER</t>
  </si>
  <si>
    <t>Sragen, 30 September 2017</t>
  </si>
  <si>
    <t>PER 30 SEPTEMBER 2017</t>
  </si>
  <si>
    <t>Hartono</t>
  </si>
  <si>
    <t>Setda</t>
  </si>
  <si>
    <t>SETDA</t>
  </si>
  <si>
    <t>Mujianti</t>
  </si>
  <si>
    <t>a. Operasional Bulan Agustus 2017</t>
  </si>
  <si>
    <t>Gaji karyawan Bulan September 2017</t>
  </si>
  <si>
    <t>a. Operasional Bulan September 2017</t>
  </si>
  <si>
    <t>Asnaf Fakir Miskin:</t>
  </si>
  <si>
    <t>Beasiswa Perguruan Tinggi dan Mahasiswa Pintar</t>
  </si>
  <si>
    <t>a. Operasional Pelaksanaan Pentasharufan Beasiswa Perguruan Tinggi dan Mahasiswa Pintar</t>
  </si>
  <si>
    <t>b. Operasional Penyelenggaraan Shalat Idul Adha 2017 di Alun-alun</t>
  </si>
  <si>
    <t>c. Pembayaran kelebihan ukuran tanah BAZNAS</t>
  </si>
  <si>
    <t>a. Kegiatan Manasik Haji TK JSIT se-Kabupaten Sragen</t>
  </si>
  <si>
    <t>b. Bantuan untuk pengiriman peserta FASI X ke Banjarmasin</t>
  </si>
  <si>
    <t>Bantuan 50 paket sembako dalam acara Tilik Kembang Desa di Tanon</t>
  </si>
  <si>
    <t>a. Bantuan untuk warga Rohingya di Myanmar</t>
  </si>
  <si>
    <t>c. Rumah roboh a.n. Muklas, Dk. Karang RT.15 Ds.Trobayan Kec.Kalijambe</t>
  </si>
  <si>
    <t>b. Kebakaran rumah warga a.n. Setu, Dk.Giren RT.15 Ds. Girimargo Kec.Miri</t>
  </si>
  <si>
    <t>d. Korban kecemplung sumur a.n. Sarno, Dk.Sidorejo RT.8 Ds.Slogo Kec.Tanon</t>
  </si>
  <si>
    <t>Operasional Internal BAZNAS, meliputi:</t>
  </si>
  <si>
    <t>c. Terima Kunjungan dari BAZNAS Luwu Utara</t>
  </si>
  <si>
    <t>d. Kontribusi Peserta Rakor di BAZNAS Pusat, Jakarta</t>
  </si>
  <si>
    <t>Pos Sosialisasi UU Zakat No.23 Tahun 2011:</t>
  </si>
  <si>
    <t>Sosialisasi Zakat di Kodim Sragen</t>
  </si>
  <si>
    <t>e. Transport mengikuti Rakerpim BAZNAS se-Jawa Tengah di Semarang</t>
  </si>
  <si>
    <t>f. Transport mengikuti Rakernas BAZNAS di Jakarta</t>
  </si>
  <si>
    <t>Dana Hibah APBD Kab.Sragen:</t>
  </si>
  <si>
    <t>a. Uang saku Peserta Rakerpim BAZNAS se-Jawa Tengah di Semarang</t>
  </si>
  <si>
    <t>b. Uang saku Peserta Rakernas BAZNAS di Jakarta</t>
  </si>
  <si>
    <t>b. Operasional Ambulan</t>
  </si>
  <si>
    <t xml:space="preserve">    1) a.n. Joko, Dk.Karanganyar RT.5 Patihan</t>
  </si>
  <si>
    <t xml:space="preserve">    2) a.n. Mitro Suwarjo, Dk.Karanganyar RT.1 Patihan</t>
  </si>
  <si>
    <t>a. A.n Iman Munadi, Dk. Bokor RT.33 Patihan</t>
  </si>
  <si>
    <t>b. A.n. Widodo, Dk.Bokor RT.33 Patihan</t>
  </si>
  <si>
    <t xml:space="preserve">                                              </t>
  </si>
  <si>
    <r>
      <t xml:space="preserve">j. Biaya </t>
    </r>
    <r>
      <rPr>
        <i/>
        <sz val="10"/>
        <color indexed="8"/>
        <rFont val="Arial"/>
        <family val="2"/>
      </rPr>
      <t>upgrade space website</t>
    </r>
    <r>
      <rPr>
        <sz val="10"/>
        <color indexed="8"/>
        <rFont val="Arial"/>
        <family val="2"/>
      </rPr>
      <t xml:space="preserve"> bazsragen.org</t>
    </r>
  </si>
  <si>
    <t>Pos Iklan, Talkshow, dan Rubrikasi BAZNAS Kab. Sargen:</t>
  </si>
  <si>
    <t>a. Iklan ucapan HUT Republik Indonesia yang ke 72</t>
  </si>
  <si>
    <t>b. Iklan menyambut HUT Solopos ke 20</t>
  </si>
  <si>
    <t>g. Operasional kegiatan Peduli Warga LAPAS Sragen</t>
  </si>
  <si>
    <t>PER  30  SEPTEMBER  &amp;  31 OKTOBER  2017</t>
  </si>
  <si>
    <t>BULAN OKTOBER</t>
  </si>
  <si>
    <t>ALMAZ Snack</t>
  </si>
  <si>
    <t>Sukarman</t>
  </si>
  <si>
    <t>MTS N Miri</t>
  </si>
  <si>
    <t>Bu Suryanto</t>
  </si>
  <si>
    <t>PER 31 OKTOBER 2017</t>
  </si>
  <si>
    <t>Gaji karyawan Bulan Oktober 2017</t>
  </si>
  <si>
    <t>Sragen, 31 Oktober 2017</t>
  </si>
  <si>
    <t>a. Operasional Bulan Oktober 2017</t>
  </si>
  <si>
    <t>a. Donatur kegiatan KKN Univet kelompok 28</t>
  </si>
  <si>
    <t>a. MMT bantuan air bersih</t>
  </si>
  <si>
    <t>b. MMT MoU BAZNAS Kab.Sragen dan PKK</t>
  </si>
  <si>
    <t>a. Honor Pimpinan selama 10 bulan</t>
  </si>
  <si>
    <t xml:space="preserve">    Listrik </t>
  </si>
  <si>
    <t xml:space="preserve">    BBM Ambulan</t>
  </si>
  <si>
    <t xml:space="preserve">    Rapat (makan dan snack)</t>
  </si>
  <si>
    <t>b. Operasional Perkantoran Januari s/d Oktober 2017:</t>
  </si>
  <si>
    <t xml:space="preserve">    Transport dalam kota</t>
  </si>
  <si>
    <t>b. Insentif Guru Tidak Tetap Agama Islam</t>
  </si>
  <si>
    <t>c. Operasional Pentasharufan Insentif GTT , Beasiswa Siswa Pintar SMA/SMK/MA, dan BOP untuk TK/RA/BA</t>
  </si>
  <si>
    <t>Bantuan perbaikan Rumah Tidak Layak Huni:</t>
  </si>
  <si>
    <t>a. A.n. Marto Dikromo / Surtaman, Dk. Tanon RT.2 Ds.Tanon Kec.Tanon</t>
  </si>
  <si>
    <t>a. Kebakaran Rumah a.n. Paidin, Dk.Seneng RT.8 Ds.Girimargo Kec.Miri</t>
  </si>
  <si>
    <t>b. Lomba MAPSI Kab.Sragen yang diselenggarakan oleh Musyawarah Guru Mapel PAI SMP Kab.Sragen</t>
  </si>
  <si>
    <t>c. Bantuan infaq untuk Muslim Kashmir untuk pembelian obat-obatan dan makanan</t>
  </si>
  <si>
    <t>a. Transpot kegiatan sosialisasi UU No.23 tahun 2011 tentang pengelolaan zakat di Kodim Sragen</t>
  </si>
  <si>
    <t>d. Kegiatan Halaqoh pengasuh Ponpes se-Kabupaten Sragen oleh PC RMI (Rabithah Ma'ahid Islamiyah)</t>
  </si>
  <si>
    <t>a. Bantuan 50 paket sembako dalam acara Tilik Kembang Desa di Jenar</t>
  </si>
  <si>
    <t>Bantuan sembako untuk fakir miskin:</t>
  </si>
  <si>
    <t>b. Bantuan 50 paket sembako dalam acara Tilik Kembang Desa di Ds.Jekawal Kec.Tangen</t>
  </si>
  <si>
    <t>b. Dalam acara Tilik Kembang Desa di Jekawal Kec.Tangen</t>
  </si>
  <si>
    <t>a. Dalam acara Tilik Kembang Desa di Jekawal Kec.Tangen</t>
  </si>
  <si>
    <t>c. Cetak dan pasang MMT baliho BAZNAS Kab.Sragen</t>
  </si>
  <si>
    <t>Rapat Koordinasi BAZNAS dengan LAZ</t>
  </si>
  <si>
    <t>Amil :</t>
  </si>
  <si>
    <t xml:space="preserve">a. Honor Pengurus Pelaksana </t>
  </si>
  <si>
    <t>b. Honor Satuan Audit Internal</t>
  </si>
  <si>
    <t>Sragen, 31  Oktober 2017</t>
  </si>
  <si>
    <t>c. Bantuan 50 paket sembako dalam acara Tilik Kembang Desa di Jekani Kec.Mondokan</t>
  </si>
  <si>
    <t>c. A.n. Sadimin, Dk. Terso RT.18 Ds.Kandangsapi. Dalam acara TMMD di Desa Kandangsapi Kec.Jenar</t>
  </si>
  <si>
    <t>d. A.n. Dariyem, Dk. Gorekan RT.2 Ds.Kandangsapi. Dalam acara TMMD di Desa Kandangsapi Kec.Jenar</t>
  </si>
  <si>
    <t>b. A.n. Jadi, dalam acara TMMD di Desa Kandangsapi Kec.Jenar</t>
  </si>
  <si>
    <t>c. A.n. Sali, dalam acara TMMD di Desa Kandangsapi Kec.Jenar</t>
  </si>
  <si>
    <t>Studi Banding ke Masjid Agung Semarang</t>
  </si>
  <si>
    <t xml:space="preserve">a. Bantuan biaya pendidikan siswa pintar SMA/SMK/MA </t>
  </si>
  <si>
    <t>b. Bantuan air bersih untuk warga di Kec. Sumberlawang dan Mondokan masing-masing 2 tangki</t>
  </si>
  <si>
    <t>PER  31 OKTOBER  &amp;  30  NOVEMBER  2017</t>
  </si>
  <si>
    <t>BULAN NOVEMBER</t>
  </si>
  <si>
    <t>Sragen, 30 November 2017</t>
  </si>
  <si>
    <t>PER 30 NOVEMBER 2017</t>
  </si>
  <si>
    <t>a. Operasional Bulan November 2017</t>
  </si>
  <si>
    <t>Gaji karyawan Bulan November 2017</t>
  </si>
  <si>
    <t xml:space="preserve">b. BPJS </t>
  </si>
  <si>
    <t>1 unit</t>
  </si>
  <si>
    <t>2 unit</t>
  </si>
  <si>
    <t xml:space="preserve">    Laptop Asus A455LA-WX667D Intercore i3</t>
  </si>
  <si>
    <t xml:space="preserve">    AC Panasonic 1 pk </t>
  </si>
  <si>
    <t xml:space="preserve">    Eksternal Hardisk Seagate</t>
  </si>
  <si>
    <t xml:space="preserve">    Kamera Nikon D3400 AFP 18-55 mm</t>
  </si>
  <si>
    <t xml:space="preserve">    Genset OH 5500 H out 3.500</t>
  </si>
  <si>
    <t>a. Kekurangan biaya pembelian Kamera Nikon D3400 AFP 18-55 mm</t>
  </si>
  <si>
    <t>Bantuan Operasional Rawat Inap Keluarga Miskin a.n. Suwandi, Dk.Pendem RT.11 Ds.Pendem Kec. Sumberlawang</t>
  </si>
  <si>
    <t>c. Terima Kunjungan  Studi Banding dari BAZNAS Kab.Pekalongan</t>
  </si>
  <si>
    <t xml:space="preserve">a. Operasional Perkantoran </t>
  </si>
  <si>
    <t>Mengikuti BIMTEK Penyusunan RKAT, SIMBA dan Pelaporan Keuangan BAZNAS se-Jateng di Semarang</t>
  </si>
  <si>
    <t xml:space="preserve">b. Biaya Operasional untuk survey bantuan pembangunan masjid, Ponpes, TPQ, dll, calon mustahiq ekonomi </t>
  </si>
  <si>
    <t xml:space="preserve">    produktif dan modal usaha dhuafa.</t>
  </si>
  <si>
    <t>Program ekonomi produktif untuk 69 mustahiq</t>
  </si>
  <si>
    <t>Bantuan modal usaha dhuafa untuk 66 mustahiq</t>
  </si>
  <si>
    <t>Pos Sembako Ramadhan:</t>
  </si>
  <si>
    <t>d. Operasional peserta magang BAZNAS Banjarmasin di BAZNAS Sragen selama 5 hari</t>
  </si>
  <si>
    <t>b. Pengadaan rak arsip BAZNAS</t>
  </si>
  <si>
    <t>a. Kegiatan Gebyar Anak Sholih dan Sholihah (GASS) oleh SD Birul Walidain Tanon</t>
  </si>
  <si>
    <t>c. Kegiatan Khitan Massal Jamaah Al-Falah Rw.8 Mojomulyo, Sragen Kulon</t>
  </si>
  <si>
    <t>d. Kegiatan MQK Tingkat Nasional di Jepara</t>
  </si>
  <si>
    <t>Operasional kegiatan pentasharufan bantuan modal usaha dhuafa dan ekonomi produktif</t>
  </si>
  <si>
    <t xml:space="preserve">    Transport Luar Kota</t>
  </si>
  <si>
    <t xml:space="preserve">    Listrik</t>
  </si>
  <si>
    <t>b. Biaya Pengadaan Barang:</t>
  </si>
  <si>
    <t>Dwi Nugroho</t>
  </si>
  <si>
    <t>Iwan Purwanto</t>
  </si>
  <si>
    <t>Untung Mardikanto</t>
  </si>
  <si>
    <t>Wakil Ketua I</t>
  </si>
  <si>
    <t>PER  30  NOVEMBER  &amp;  31  DESEMBER  2017</t>
  </si>
  <si>
    <t>BULAN DESEMBER</t>
  </si>
  <si>
    <t>Sragen, 31 Desember 2017</t>
  </si>
  <si>
    <t>PER 31 DESEMBER 2017</t>
  </si>
  <si>
    <t>Gaji karyawan Bulan Desember 2017</t>
  </si>
  <si>
    <t>a. Operasional Bulan Desember 2017</t>
  </si>
  <si>
    <t>a. Santunan santri</t>
  </si>
  <si>
    <t>b. Santunan penjaga masjid</t>
  </si>
  <si>
    <t>a. Insentif Ustadz Madin</t>
  </si>
  <si>
    <t>b. Insentif Kyai atau Pengasuh Madin/ Ponpes</t>
  </si>
  <si>
    <t xml:space="preserve">a. Operasional Pentasharufan santunan santri, santunan penjaga masjid, insentif ustadz Madin, </t>
  </si>
  <si>
    <t xml:space="preserve">    dan Insentif Kyai atau pengasuh Madin/ Ponpes</t>
  </si>
  <si>
    <t>a. Honor Pimpinan BAZNAS Bulan November dan Desember 2017</t>
  </si>
  <si>
    <t>b. Operasional Perkantoran</t>
  </si>
  <si>
    <t xml:space="preserve">    Konsumsi Rapat</t>
  </si>
  <si>
    <t>Bantuan dana untuk korban banjir Pacitan</t>
  </si>
  <si>
    <t>c. Santunan fakir miskin melalui UPZ SMK N 1 Sragen</t>
  </si>
  <si>
    <t>c. UPZIS Infaq SMK N 1 Sragen</t>
  </si>
  <si>
    <t>dalam kegiatan TNI Manunggal Membangun Desa di Sidokerto Kec.Plupuh</t>
  </si>
  <si>
    <t>Arinda F</t>
  </si>
  <si>
    <t>H. Mahmudi</t>
  </si>
  <si>
    <t>Anwarul Islam</t>
  </si>
  <si>
    <t>Eddy Sunoto</t>
  </si>
  <si>
    <t>Retno Emmi L</t>
  </si>
  <si>
    <t>Iwadh Pengadilan Agama Sragen</t>
  </si>
  <si>
    <t>a. Kegiatan Peringatan Maulid Nabi SAW 1439 H oleh PPHBI Pengurus Ranting NU Kel.Karangtengah Kec.Sragen</t>
  </si>
  <si>
    <t>Bantuan Perbaikan Rumah Tidak Layak Huni :</t>
  </si>
  <si>
    <t>Bantuan bedah rumah untuk Acara HAB Kementerian Agama ke-72</t>
  </si>
  <si>
    <t>d. Terima Kunjungan Studi Banding dari BAZNAS Kota Magelang</t>
  </si>
  <si>
    <t>a. Servis Komputer</t>
  </si>
  <si>
    <t>b. Servis Printer</t>
  </si>
  <si>
    <t>c. Stabilizer</t>
  </si>
  <si>
    <t>b. Biaya untuk petugas pembersih gudang BAZNAS</t>
  </si>
  <si>
    <t>c. Petugas Survei Program ekonomi produktif dan modal usaha dhuafa</t>
  </si>
  <si>
    <t>d. Uang muka untuk Renovasi bagian Front Office Kantor BAZNAS</t>
  </si>
  <si>
    <t>c. Bantuan Ekonomi Produktif</t>
  </si>
  <si>
    <t>d. Bantuan modal usaha dhuafa</t>
  </si>
  <si>
    <t>e. Beasiswa SMA</t>
  </si>
  <si>
    <t>b. Operasional kegiatan Launching Kampung Berkah dan Peletakan batu Pertama Griya Sehat dan Perpustakaan Islami BAZNAS</t>
  </si>
  <si>
    <t>Pos Pembangunan Griya Sehat dan Perpustakaan Islami BAZNAS</t>
  </si>
  <si>
    <t>Uang muka pembangunan sebesar 30% dari Rp. 599.000.000,-</t>
  </si>
  <si>
    <t>e. Operasional Ambulan</t>
  </si>
  <si>
    <t>Rapat koordinasi dan Sosialisasi Kampung Berkah</t>
  </si>
  <si>
    <t>Bantuan Pembangunan Masjid</t>
  </si>
  <si>
    <t>f. Honor Sopir Ambulan di luar jam kerja</t>
  </si>
  <si>
    <t xml:space="preserve">BADAN AMIL ZAKAT NASIONAL </t>
  </si>
  <si>
    <t>( BAZNAS )</t>
  </si>
  <si>
    <t>KABUPATEN SRAGEN</t>
  </si>
  <si>
    <t>Sekretariat : Jl. Raya Timur KM.4 Komplek Masjid Bazis Ukhuwah Islamiyah Pilangsari Ngrampal Sragen</t>
  </si>
  <si>
    <t>Kodepos: 57252 Telp /Fax: (0271) 8825250 E-mail:bazdasragen@yahoo.com Website:www.bazsragen.org</t>
  </si>
  <si>
    <t xml:space="preserve">     Sragen,  31 Januari 2017</t>
  </si>
  <si>
    <t>Nomor</t>
  </si>
  <si>
    <t>Lamp</t>
  </si>
  <si>
    <t>: 1 (satu) bendel</t>
  </si>
  <si>
    <t>Hal</t>
  </si>
  <si>
    <t>: Laporan Rutin</t>
  </si>
  <si>
    <t>Kepada Yth :</t>
  </si>
  <si>
    <t>Di Tempat</t>
  </si>
  <si>
    <t>Assalamu'alaikum Wr. Wb.</t>
  </si>
  <si>
    <t>Kabupaten Sragen, per 31 Januari 2017 adalah sebagai berikut :</t>
  </si>
  <si>
    <t>Dalam Rupiah</t>
  </si>
  <si>
    <t>PEMASUKAN</t>
  </si>
  <si>
    <t>PENGELUARAN</t>
  </si>
  <si>
    <t>SALDO</t>
  </si>
  <si>
    <t>BANK</t>
  </si>
  <si>
    <t>Saldo Akhir Bulan Desember 2016</t>
  </si>
  <si>
    <t>Pemasukan Januari 2017</t>
  </si>
  <si>
    <t>Pengeluaran Januari 2017</t>
  </si>
  <si>
    <t>Saldo Akhir</t>
  </si>
  <si>
    <t>WADI'AH</t>
  </si>
  <si>
    <t>Saldo Akhir Zakat</t>
  </si>
  <si>
    <t>Saldo Akhir Infaq</t>
  </si>
  <si>
    <t>Jumlah Saldo per 31 Januari 2017</t>
  </si>
  <si>
    <t xml:space="preserve"> Keterangan: Setoran Zakat dan Infaq dapat melalui </t>
  </si>
  <si>
    <t>Bank Jateng Rek. 1-0-010-00553-1 (zakat), 1-00-00330-4 (infaq)</t>
  </si>
  <si>
    <t>Bank Jateng Syariah Rek. 6-041-00004-5 (zakat), 6-041-00005-9 (infaq)</t>
  </si>
  <si>
    <t>Bank BRI Rek. 0140-01-000547-30-9 (zakat), 0140-01-000553-30-0 (infaq)</t>
  </si>
  <si>
    <t>Demikian untuk menjadikan periksa.</t>
  </si>
  <si>
    <t xml:space="preserve">Wassalamu'alaikum Wr. Wb. </t>
  </si>
  <si>
    <t>Sekretaris</t>
  </si>
  <si>
    <t>Drs. H. Mahmudi, M. Ag</t>
  </si>
  <si>
    <t>H. Ahmad Ulin Nur Hafsun, S.Th.I., M.Pd.I</t>
  </si>
  <si>
    <t xml:space="preserve">Tembusan di sampaikan Kepada Yth. : </t>
  </si>
  <si>
    <t>1. Bupati Kab. Sragen</t>
  </si>
  <si>
    <t>2. Ketua DPRD Kab. Sragen</t>
  </si>
  <si>
    <t>3. Ka.kankemenag Kab. Sragen</t>
  </si>
  <si>
    <t>4. Arsip</t>
  </si>
  <si>
    <t>Bersama ini kami laporkan Pemasukan dan Pengeluaran Dana Zakat, Infaq / Shadaqah BAZNAS</t>
  </si>
  <si>
    <t xml:space="preserve">     Sragen,  28 Februari 2017</t>
  </si>
  <si>
    <t>Kabupaten Sragen, per 28 Februari 2017 adalah sebagai berikut :</t>
  </si>
  <si>
    <t>Saldo Akhir Bulan Januari 2017</t>
  </si>
  <si>
    <t>Pemasukan Februari 2017</t>
  </si>
  <si>
    <t>Pengeluaran Februari 2017</t>
  </si>
  <si>
    <t>Jumlah Saldo per 28 Februari 2017</t>
  </si>
  <si>
    <t xml:space="preserve">     Sragen,  31 Maret 2017</t>
  </si>
  <si>
    <t>Kabupaten Sragen, per 31 Maret 2017 adalah sebagai berikut :</t>
  </si>
  <si>
    <t>Saldo Akhir Bulan Februari 2017</t>
  </si>
  <si>
    <t>Pemasukan Maret 2017</t>
  </si>
  <si>
    <t>Pengeluaran Maret 2017</t>
  </si>
  <si>
    <t>Jumlah Saldo per 31 Maret 2017</t>
  </si>
  <si>
    <t xml:space="preserve">     Sragen,  30 April 2017</t>
  </si>
  <si>
    <t>Kabupaten Sragen, per 30 April 2017 adalah sebagai berikut :</t>
  </si>
  <si>
    <t>Saldo Akhir Bulan Maret 2017</t>
  </si>
  <si>
    <t>Pemasukan April 2017</t>
  </si>
  <si>
    <t>Pengeluaran April 2017</t>
  </si>
  <si>
    <t>Jumlah Saldo per 30 April 2017</t>
  </si>
  <si>
    <t xml:space="preserve">     Sragen,  31 Mei 2017</t>
  </si>
  <si>
    <t>Kabupaten Sragen, per 31 Mei 2017 adalah sebagai berikut :</t>
  </si>
  <si>
    <t>Saldo Akhir Bulan April 2017</t>
  </si>
  <si>
    <t>Pemasukan Mei 2017</t>
  </si>
  <si>
    <t>Pengeluaran Mei 2017</t>
  </si>
  <si>
    <t>Jumlah Saldo per 31 Mei 2017</t>
  </si>
  <si>
    <t xml:space="preserve">     Sragen,  30 Juni 2017</t>
  </si>
  <si>
    <t>:450.4  / 6 /BAZNAS-KAB/ VI/ 2017</t>
  </si>
  <si>
    <t>Kabupaten Sragen, per 30 Juni 2017 adalah sebagai berikut :</t>
  </si>
  <si>
    <t>Saldo Akhir Bulan Mei 2017</t>
  </si>
  <si>
    <t>Pemasukan Juni 2017</t>
  </si>
  <si>
    <t>Pengeluaran Juni 2017</t>
  </si>
  <si>
    <t>Jumlah Saldo per 30 Juni 2017</t>
  </si>
  <si>
    <t xml:space="preserve">     Sragen,  31 Juli 2017</t>
  </si>
  <si>
    <t>:450.4  / 7 /BAZNAS-KAB/ VII/ 2017</t>
  </si>
  <si>
    <t>Kabupaten Sragen, per 31 Juli 2017 adalah sebagai berikut :</t>
  </si>
  <si>
    <t>Saldo Akhir Bulan Juni 2017</t>
  </si>
  <si>
    <t>Pemasukan Juli 2017</t>
  </si>
  <si>
    <t>Pengeluaran Juli 2017</t>
  </si>
  <si>
    <t>Jumlah Saldo per 31 Juli 2017</t>
  </si>
  <si>
    <t xml:space="preserve">     Sragen,  31 Agustus 2017</t>
  </si>
  <si>
    <t>:450.4  / 8 /BAZNAS-KAB/ VIII/ 2017</t>
  </si>
  <si>
    <t>Kabupaten Sragen, per 31 Agustus 2017 adalah sebagai berikut :</t>
  </si>
  <si>
    <t>Saldo Akhir Bulan Juli 2017</t>
  </si>
  <si>
    <t>Pemasukan Agustus 2017</t>
  </si>
  <si>
    <t>Pengeluaran Agustus 2017</t>
  </si>
  <si>
    <t>Jumlah Saldo per 31 Agustus 2017</t>
  </si>
  <si>
    <t xml:space="preserve">     Sragen,  30 September 2017</t>
  </si>
  <si>
    <t>:450.4  / 9 /BAZNAS-KAB/ IX / 2017</t>
  </si>
  <si>
    <t>Kabupaten Sragen, per 30 September 2017 adalah sebagai berikut :</t>
  </si>
  <si>
    <t>Saldo Akhir Bulan Agustus 2017</t>
  </si>
  <si>
    <t>Pemasukan September 2017</t>
  </si>
  <si>
    <t>Pengeluaran September 2017</t>
  </si>
  <si>
    <t>Jumlah Saldo per 30 September 2017</t>
  </si>
  <si>
    <t xml:space="preserve">                                   </t>
  </si>
  <si>
    <t xml:space="preserve">     Sragen,  31 Oktober 2017</t>
  </si>
  <si>
    <t>:450.4  / 10 /BAZNAS-KAB/ X / 2017</t>
  </si>
  <si>
    <t xml:space="preserve">                                                                </t>
  </si>
  <si>
    <t>Kabupaten Sragen, per 31 Oktober 2017 adalah sebagai berikut :</t>
  </si>
  <si>
    <t>Saldo Akhir Bulan September 2017</t>
  </si>
  <si>
    <t>Pemasukan Oktober 2017</t>
  </si>
  <si>
    <t>Pengeluaran Oktober 2017</t>
  </si>
  <si>
    <t>Jumlah Saldo per 31 Oktober 2017</t>
  </si>
  <si>
    <t xml:space="preserve">     Sragen,  30 November 2017</t>
  </si>
  <si>
    <t>:450.4  / 11 /BAZNAS-KAB/ XI / 2017</t>
  </si>
  <si>
    <t>Kabupaten Sragen, per 30 November 2017 adalah sebagai berikut :</t>
  </si>
  <si>
    <t>Saldo Akhir Bulan Oktober 2017</t>
  </si>
  <si>
    <t>Pemasukan November 2017</t>
  </si>
  <si>
    <t>Pengeluaran November 2017</t>
  </si>
  <si>
    <t>Jumlah Saldo per 30 November 2017</t>
  </si>
  <si>
    <t xml:space="preserve">     Sragen,  31 Desember 2017</t>
  </si>
  <si>
    <t>:450.4  / 12 /BAZNAS-KAB/ XII / 2017</t>
  </si>
  <si>
    <t>Kabupaten Sragen, per 31 Desember 2017 adalah sebagai berikut :</t>
  </si>
  <si>
    <t>Saldo Akhir Bulan November 2017</t>
  </si>
  <si>
    <t>Pemasukan Desember 2017</t>
  </si>
  <si>
    <t>Pengeluaran Desember 2017</t>
  </si>
  <si>
    <t>Jumlah Saldo per 31 Desember 2017</t>
  </si>
  <si>
    <t>1. Kepala Dinas / Badan / Inspektorat / Bagian / Kantor dan Unit Kerja</t>
  </si>
  <si>
    <t xml:space="preserve">2. Kepala Instansi Vertikal </t>
  </si>
  <si>
    <t>3. Pimpinan BUMN / BUMD</t>
  </si>
  <si>
    <t>4. Camat</t>
  </si>
  <si>
    <t>5. Kepala Sekolah</t>
  </si>
  <si>
    <t>6. ……………………………………………………………………….</t>
  </si>
  <si>
    <t>TTD</t>
  </si>
  <si>
    <t>Pentasharufan melalui KUA Sumberlawang</t>
  </si>
  <si>
    <t xml:space="preserve">Pentasharufan melalui KUA Mondokan </t>
  </si>
  <si>
    <t xml:space="preserve">Bersama ini kami laporkan Pemasukan dan Pengeluaran Dana Zakat, Infaq / Shadaqah BAZNAS </t>
  </si>
  <si>
    <t>:450.4  / 1 /BAZNAS-KAB/ I/ 2017</t>
  </si>
  <si>
    <t>:450.4  / 2 /BAZNAS-KAB/ II/ 2017</t>
  </si>
  <si>
    <t>:450.4  / 3 /BAZNAS-KAB/ III/ 2017</t>
  </si>
  <si>
    <t>Pentasharufan melalui UPZ MTs Negeri Gondang</t>
  </si>
  <si>
    <t>a. Iklan ucapan HUT Kab.Sragen 271</t>
  </si>
  <si>
    <t>Ongkos jahit seragam BAZNAS untuk Bupati</t>
  </si>
  <si>
    <t>Pentasharufan melalui UPZ:</t>
  </si>
  <si>
    <t>Pentasharufan Infaq melalui UPZ Masjid Kauman</t>
  </si>
  <si>
    <t>b. Kerjasama dengan Dinas Perumahan dan Kawasan Permukiman Kab. Sragen</t>
  </si>
  <si>
    <t>a. Pentasharufan melalui Dinas Kesehatan</t>
  </si>
  <si>
    <t>b. Bantuan bahan bacaan Taman Baca Anak &amp; Remaja ASRI, Kaligunting RT.4 Kel.Kedawung Kec.Mondokan</t>
  </si>
  <si>
    <t>Biaya Perawatan Mobil Ambulan</t>
  </si>
  <si>
    <t>d. Pembelian oleh-oleh untuk BAZNAS Gresik</t>
  </si>
  <si>
    <t>Bantuan dana renovasi Gedung KB dan TKIU BAZSRA</t>
  </si>
  <si>
    <t>Kegiatan Peduli Warga LAPAS Sragen berupa Pengajian dan makan bersama</t>
  </si>
  <si>
    <t>Ashnaf Fakir Miskin:</t>
  </si>
  <si>
    <t>Asnaf Fiisabilillaah:</t>
  </si>
  <si>
    <t>a. Bantuan Operasional Pendidikan TK/RA/BA</t>
  </si>
  <si>
    <t>a. Perbaikan pintu dan jendela ruang atas</t>
  </si>
  <si>
    <t>:450.4  / 4/BAZNAS-KAB/ IV/ 2017</t>
  </si>
  <si>
    <t>:450.4  / 5/BAZNAS-KAB/ V/ 2017</t>
  </si>
  <si>
    <t>Asnaf Amil:</t>
  </si>
  <si>
    <t>Ashnaf Fiisabilillaah:</t>
  </si>
  <si>
    <t xml:space="preserve">Pentasharufan zakat melalui MTS N Miri </t>
  </si>
  <si>
    <t>Pos Prototype Zakat Community Development: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</si>
</sst>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[$Rp-421]* #,##0_);_([$Rp-421]* \(#,##0\);_([$Rp-421]* &quot;-&quot;_);_(@_)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ck"/>
    </border>
    <border>
      <left/>
      <right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4" fillId="0" borderId="0" xfId="61" applyFont="1">
      <alignment/>
      <protection/>
    </xf>
    <xf numFmtId="165" fontId="6" fillId="33" borderId="10" xfId="35" applyNumberFormat="1" applyFont="1" applyFill="1" applyBorder="1" applyAlignment="1">
      <alignment horizontal="center" vertical="center"/>
    </xf>
    <xf numFmtId="0" fontId="7" fillId="0" borderId="10" xfId="35" applyFont="1" applyFill="1" applyBorder="1" applyAlignment="1">
      <alignment horizontal="center" vertical="center"/>
    </xf>
    <xf numFmtId="0" fontId="7" fillId="0" borderId="10" xfId="35" applyFont="1" applyFill="1" applyBorder="1" applyAlignment="1">
      <alignment horizontal="left" vertical="center"/>
    </xf>
    <xf numFmtId="41" fontId="5" fillId="34" borderId="10" xfId="46" applyNumberFormat="1" applyFont="1" applyFill="1" applyBorder="1" applyAlignment="1">
      <alignment horizontal="left"/>
    </xf>
    <xf numFmtId="41" fontId="5" fillId="0" borderId="10" xfId="46" applyNumberFormat="1" applyFont="1" applyBorder="1" applyAlignment="1">
      <alignment horizontal="left"/>
    </xf>
    <xf numFmtId="41" fontId="5" fillId="33" borderId="10" xfId="46" applyNumberFormat="1" applyFont="1" applyFill="1" applyBorder="1" applyAlignment="1">
      <alignment horizontal="left"/>
    </xf>
    <xf numFmtId="41" fontId="5" fillId="33" borderId="10" xfId="46" applyFont="1" applyFill="1" applyBorder="1" applyAlignment="1">
      <alignment horizontal="center"/>
    </xf>
    <xf numFmtId="41" fontId="7" fillId="0" borderId="10" xfId="46" applyNumberFormat="1" applyFont="1" applyBorder="1" applyAlignment="1">
      <alignment horizontal="center"/>
    </xf>
    <xf numFmtId="41" fontId="7" fillId="0" borderId="11" xfId="46" applyNumberFormat="1" applyFont="1" applyBorder="1" applyAlignment="1">
      <alignment horizontal="left"/>
    </xf>
    <xf numFmtId="41" fontId="7" fillId="0" borderId="10" xfId="46" applyNumberFormat="1" applyFont="1" applyBorder="1" applyAlignment="1">
      <alignment/>
    </xf>
    <xf numFmtId="41" fontId="7" fillId="0" borderId="10" xfId="46" applyNumberFormat="1" applyFont="1" applyBorder="1" applyAlignment="1">
      <alignment vertical="center"/>
    </xf>
    <xf numFmtId="41" fontId="7" fillId="0" borderId="11" xfId="46" applyNumberFormat="1" applyFont="1" applyBorder="1" applyAlignment="1">
      <alignment horizontal="left" vertical="center"/>
    </xf>
    <xf numFmtId="41" fontId="5" fillId="34" borderId="10" xfId="46" applyFont="1" applyFill="1" applyBorder="1" applyAlignment="1">
      <alignment horizontal="center"/>
    </xf>
    <xf numFmtId="41" fontId="7" fillId="0" borderId="10" xfId="46" applyNumberFormat="1" applyFont="1" applyBorder="1" applyAlignment="1">
      <alignment horizontal="left" vertical="center"/>
    </xf>
    <xf numFmtId="41" fontId="0" fillId="0" borderId="0" xfId="0" applyNumberFormat="1" applyAlignment="1">
      <alignment/>
    </xf>
    <xf numFmtId="41" fontId="7" fillId="0" borderId="10" xfId="46" applyNumberFormat="1" applyFont="1" applyBorder="1" applyAlignment="1">
      <alignment horizontal="left"/>
    </xf>
    <xf numFmtId="41" fontId="6" fillId="34" borderId="10" xfId="46" applyNumberFormat="1" applyFont="1" applyFill="1" applyBorder="1" applyAlignment="1">
      <alignment horizontal="left"/>
    </xf>
    <xf numFmtId="41" fontId="7" fillId="0" borderId="11" xfId="46" applyNumberFormat="1" applyFont="1" applyFill="1" applyBorder="1" applyAlignment="1">
      <alignment horizontal="left" vertical="center"/>
    </xf>
    <xf numFmtId="41" fontId="7" fillId="0" borderId="10" xfId="46" applyNumberFormat="1" applyFont="1" applyFill="1" applyBorder="1" applyAlignment="1">
      <alignment horizontal="left" vertical="center"/>
    </xf>
    <xf numFmtId="41" fontId="7" fillId="35" borderId="10" xfId="46" applyNumberFormat="1" applyFont="1" applyFill="1" applyBorder="1" applyAlignment="1">
      <alignment horizontal="left" vertical="center"/>
    </xf>
    <xf numFmtId="41" fontId="7" fillId="34" borderId="10" xfId="46" applyNumberFormat="1" applyFont="1" applyFill="1" applyBorder="1" applyAlignment="1">
      <alignment horizontal="left" vertical="center"/>
    </xf>
    <xf numFmtId="41" fontId="7" fillId="0" borderId="11" xfId="46" applyNumberFormat="1" applyFont="1" applyFill="1" applyBorder="1" applyAlignment="1">
      <alignment horizontal="left"/>
    </xf>
    <xf numFmtId="41" fontId="7" fillId="0" borderId="10" xfId="46" applyNumberFormat="1" applyFont="1" applyFill="1" applyBorder="1" applyAlignment="1">
      <alignment horizontal="left"/>
    </xf>
    <xf numFmtId="41" fontId="7" fillId="0" borderId="12" xfId="46" applyNumberFormat="1" applyFont="1" applyFill="1" applyBorder="1" applyAlignment="1">
      <alignment horizontal="left"/>
    </xf>
    <xf numFmtId="41" fontId="7" fillId="0" borderId="13" xfId="61" applyNumberFormat="1" applyFont="1" applyFill="1" applyBorder="1" applyAlignment="1">
      <alignment horizontal="left"/>
      <protection/>
    </xf>
    <xf numFmtId="41" fontId="5" fillId="35" borderId="14" xfId="46" applyNumberFormat="1" applyFont="1" applyFill="1" applyBorder="1" applyAlignment="1">
      <alignment horizontal="left"/>
    </xf>
    <xf numFmtId="41" fontId="7" fillId="0" borderId="10" xfId="61" applyNumberFormat="1" applyFont="1" applyFill="1" applyBorder="1" applyAlignment="1">
      <alignment horizontal="left"/>
      <protection/>
    </xf>
    <xf numFmtId="41" fontId="7" fillId="0" borderId="13" xfId="46" applyNumberFormat="1" applyFont="1" applyBorder="1" applyAlignment="1">
      <alignment horizontal="left"/>
    </xf>
    <xf numFmtId="41" fontId="7" fillId="0" borderId="13" xfId="61" applyNumberFormat="1" applyFont="1" applyFill="1" applyBorder="1" applyAlignment="1">
      <alignment horizontal="left" wrapText="1"/>
      <protection/>
    </xf>
    <xf numFmtId="41" fontId="5" fillId="34" borderId="14" xfId="46" applyNumberFormat="1" applyFont="1" applyFill="1" applyBorder="1" applyAlignment="1">
      <alignment horizontal="left"/>
    </xf>
    <xf numFmtId="41" fontId="7" fillId="0" borderId="15" xfId="61" applyNumberFormat="1" applyFont="1" applyFill="1" applyBorder="1" applyAlignment="1">
      <alignment horizontal="left"/>
      <protection/>
    </xf>
    <xf numFmtId="41" fontId="5" fillId="33" borderId="16" xfId="46" applyNumberFormat="1" applyFont="1" applyFill="1" applyBorder="1" applyAlignment="1">
      <alignment horizontal="left"/>
    </xf>
    <xf numFmtId="41" fontId="5" fillId="33" borderId="17" xfId="46" applyNumberFormat="1" applyFont="1" applyFill="1" applyBorder="1" applyAlignment="1">
      <alignment horizontal="left"/>
    </xf>
    <xf numFmtId="41" fontId="5" fillId="0" borderId="0" xfId="46" applyNumberFormat="1" applyFont="1" applyFill="1" applyBorder="1" applyAlignment="1">
      <alignment horizontal="center" vertical="center"/>
    </xf>
    <xf numFmtId="41" fontId="5" fillId="0" borderId="0" xfId="46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0" borderId="20" xfId="46" applyNumberFormat="1" applyFont="1" applyBorder="1" applyAlignment="1">
      <alignment/>
    </xf>
    <xf numFmtId="0" fontId="7" fillId="34" borderId="2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164" fontId="5" fillId="0" borderId="10" xfId="46" applyNumberFormat="1" applyFont="1" applyBorder="1" applyAlignment="1">
      <alignment/>
    </xf>
    <xf numFmtId="0" fontId="7" fillId="34" borderId="2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164" fontId="5" fillId="36" borderId="10" xfId="46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22" xfId="46" applyNumberFormat="1" applyFont="1" applyBorder="1" applyAlignment="1">
      <alignment/>
    </xf>
    <xf numFmtId="0" fontId="7" fillId="34" borderId="24" xfId="0" applyFont="1" applyFill="1" applyBorder="1" applyAlignment="1">
      <alignment horizontal="left"/>
    </xf>
    <xf numFmtId="164" fontId="5" fillId="36" borderId="22" xfId="46" applyNumberFormat="1" applyFont="1" applyFill="1" applyBorder="1" applyAlignment="1">
      <alignment vertical="center"/>
    </xf>
    <xf numFmtId="164" fontId="5" fillId="36" borderId="18" xfId="46" applyNumberFormat="1" applyFont="1" applyFill="1" applyBorder="1" applyAlignment="1">
      <alignment vertical="center"/>
    </xf>
    <xf numFmtId="164" fontId="5" fillId="36" borderId="19" xfId="46" applyNumberFormat="1" applyFont="1" applyFill="1" applyBorder="1" applyAlignment="1">
      <alignment vertical="center"/>
    </xf>
    <xf numFmtId="164" fontId="5" fillId="0" borderId="18" xfId="46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64" fontId="5" fillId="36" borderId="20" xfId="46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7" fillId="35" borderId="13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164" fontId="7" fillId="0" borderId="11" xfId="46" applyNumberFormat="1" applyFont="1" applyFill="1" applyBorder="1" applyAlignment="1">
      <alignment horizontal="left" vertical="center"/>
    </xf>
    <xf numFmtId="41" fontId="7" fillId="0" borderId="20" xfId="46" applyNumberFormat="1" applyFont="1" applyBorder="1" applyAlignment="1">
      <alignment horizontal="left" vertical="center"/>
    </xf>
    <xf numFmtId="41" fontId="7" fillId="0" borderId="10" xfId="35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41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left"/>
    </xf>
    <xf numFmtId="164" fontId="0" fillId="0" borderId="0" xfId="0" applyNumberFormat="1" applyAlignment="1">
      <alignment/>
    </xf>
    <xf numFmtId="0" fontId="7" fillId="34" borderId="21" xfId="0" applyNumberFormat="1" applyFont="1" applyFill="1" applyBorder="1" applyAlignment="1">
      <alignment horizontal="left" vertical="center"/>
    </xf>
    <xf numFmtId="41" fontId="7" fillId="0" borderId="11" xfId="46" applyNumberFormat="1" applyFont="1" applyBorder="1" applyAlignment="1">
      <alignment/>
    </xf>
    <xf numFmtId="41" fontId="5" fillId="0" borderId="14" xfId="46" applyNumberFormat="1" applyFont="1" applyBorder="1" applyAlignment="1">
      <alignment horizontal="left"/>
    </xf>
    <xf numFmtId="164" fontId="5" fillId="34" borderId="10" xfId="46" applyNumberFormat="1" applyFont="1" applyFill="1" applyBorder="1" applyAlignment="1">
      <alignment/>
    </xf>
    <xf numFmtId="164" fontId="0" fillId="0" borderId="0" xfId="51" applyFont="1" applyAlignment="1">
      <alignment/>
    </xf>
    <xf numFmtId="164" fontId="5" fillId="34" borderId="10" xfId="51" applyFont="1" applyFill="1" applyBorder="1" applyAlignment="1">
      <alignment horizontal="center"/>
    </xf>
    <xf numFmtId="41" fontId="7" fillId="34" borderId="11" xfId="46" applyNumberFormat="1" applyFont="1" applyFill="1" applyBorder="1" applyAlignment="1">
      <alignment horizontal="left" vertical="center"/>
    </xf>
    <xf numFmtId="41" fontId="7" fillId="34" borderId="22" xfId="46" applyNumberFormat="1" applyFont="1" applyFill="1" applyBorder="1" applyAlignment="1">
      <alignment horizontal="left" vertical="center"/>
    </xf>
    <xf numFmtId="41" fontId="7" fillId="34" borderId="18" xfId="46" applyNumberFormat="1" applyFont="1" applyFill="1" applyBorder="1" applyAlignment="1">
      <alignment horizontal="left" vertical="center"/>
    </xf>
    <xf numFmtId="164" fontId="5" fillId="34" borderId="20" xfId="46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 horizontal="center"/>
    </xf>
    <xf numFmtId="41" fontId="0" fillId="0" borderId="0" xfId="51" applyNumberFormat="1" applyFont="1" applyAlignment="1">
      <alignment/>
    </xf>
    <xf numFmtId="164" fontId="6" fillId="34" borderId="10" xfId="0" applyNumberFormat="1" applyFont="1" applyFill="1" applyBorder="1" applyAlignment="1">
      <alignment/>
    </xf>
    <xf numFmtId="164" fontId="61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166" fontId="0" fillId="0" borderId="0" xfId="50" applyNumberFormat="1" applyFont="1" applyAlignment="1">
      <alignment/>
    </xf>
    <xf numFmtId="166" fontId="0" fillId="0" borderId="0" xfId="0" applyNumberFormat="1" applyAlignment="1">
      <alignment/>
    </xf>
    <xf numFmtId="164" fontId="61" fillId="34" borderId="10" xfId="0" applyNumberFormat="1" applyFont="1" applyFill="1" applyBorder="1" applyAlignment="1">
      <alignment/>
    </xf>
    <xf numFmtId="41" fontId="0" fillId="0" borderId="0" xfId="50" applyNumberFormat="1" applyFont="1" applyAlignment="1">
      <alignment/>
    </xf>
    <xf numFmtId="0" fontId="0" fillId="34" borderId="0" xfId="0" applyFill="1" applyAlignment="1">
      <alignment/>
    </xf>
    <xf numFmtId="0" fontId="8" fillId="34" borderId="11" xfId="0" applyFont="1" applyFill="1" applyBorder="1" applyAlignment="1">
      <alignment/>
    </xf>
    <xf numFmtId="0" fontId="7" fillId="34" borderId="11" xfId="0" applyNumberFormat="1" applyFont="1" applyFill="1" applyBorder="1" applyAlignment="1">
      <alignment horizontal="left" vertical="center"/>
    </xf>
    <xf numFmtId="41" fontId="7" fillId="34" borderId="10" xfId="46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8" fillId="34" borderId="21" xfId="0" applyFont="1" applyFill="1" applyBorder="1" applyAlignment="1">
      <alignment/>
    </xf>
    <xf numFmtId="164" fontId="0" fillId="34" borderId="0" xfId="0" applyNumberFormat="1" applyFill="1" applyAlignment="1">
      <alignment/>
    </xf>
    <xf numFmtId="166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166" fontId="5" fillId="34" borderId="1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59" fillId="0" borderId="0" xfId="0" applyFont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2" fillId="0" borderId="11" xfId="0" applyFont="1" applyBorder="1" applyAlignment="1">
      <alignment/>
    </xf>
    <xf numFmtId="0" fontId="62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62" fillId="0" borderId="11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" fillId="34" borderId="18" xfId="0" applyFont="1" applyFill="1" applyBorder="1" applyAlignment="1">
      <alignment horizontal="left" vertical="center"/>
    </xf>
    <xf numFmtId="164" fontId="5" fillId="34" borderId="22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164" fontId="5" fillId="34" borderId="22" xfId="46" applyNumberFormat="1" applyFont="1" applyFill="1" applyBorder="1" applyAlignment="1">
      <alignment/>
    </xf>
    <xf numFmtId="165" fontId="0" fillId="34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1" fontId="22" fillId="0" borderId="10" xfId="44" applyNumberFormat="1" applyFont="1" applyFill="1" applyBorder="1" applyAlignment="1">
      <alignment/>
    </xf>
    <xf numFmtId="41" fontId="19" fillId="0" borderId="10" xfId="44" applyNumberFormat="1" applyFont="1" applyFill="1" applyBorder="1" applyAlignment="1">
      <alignment/>
    </xf>
    <xf numFmtId="41" fontId="22" fillId="0" borderId="10" xfId="44" applyFont="1" applyFill="1" applyBorder="1" applyAlignment="1">
      <alignment/>
    </xf>
    <xf numFmtId="41" fontId="22" fillId="0" borderId="10" xfId="0" applyNumberFormat="1" applyFont="1" applyFill="1" applyBorder="1" applyAlignment="1">
      <alignment/>
    </xf>
    <xf numFmtId="41" fontId="22" fillId="0" borderId="10" xfId="44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41" fontId="22" fillId="0" borderId="10" xfId="0" applyNumberFormat="1" applyFont="1" applyFill="1" applyBorder="1" applyAlignment="1">
      <alignment horizontal="center"/>
    </xf>
    <xf numFmtId="41" fontId="19" fillId="0" borderId="10" xfId="44" applyNumberFormat="1" applyFont="1" applyFill="1" applyBorder="1" applyAlignment="1">
      <alignment horizontal="center"/>
    </xf>
    <xf numFmtId="41" fontId="19" fillId="0" borderId="10" xfId="0" applyNumberFormat="1" applyFont="1" applyFill="1" applyBorder="1" applyAlignment="1">
      <alignment horizontal="center"/>
    </xf>
    <xf numFmtId="41" fontId="24" fillId="0" borderId="10" xfId="44" applyNumberFormat="1" applyFont="1" applyFill="1" applyBorder="1" applyAlignment="1">
      <alignment/>
    </xf>
    <xf numFmtId="41" fontId="25" fillId="0" borderId="10" xfId="44" applyNumberFormat="1" applyFont="1" applyFill="1" applyBorder="1" applyAlignment="1">
      <alignment/>
    </xf>
    <xf numFmtId="41" fontId="25" fillId="0" borderId="10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41" fontId="13" fillId="0" borderId="10" xfId="44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41" fontId="13" fillId="0" borderId="10" xfId="0" applyNumberFormat="1" applyFont="1" applyFill="1" applyBorder="1" applyAlignment="1">
      <alignment/>
    </xf>
    <xf numFmtId="41" fontId="13" fillId="0" borderId="10" xfId="44" applyNumberFormat="1" applyFont="1" applyFill="1" applyBorder="1" applyAlignment="1">
      <alignment horizontal="center"/>
    </xf>
    <xf numFmtId="41" fontId="15" fillId="0" borderId="10" xfId="44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41" fontId="25" fillId="0" borderId="10" xfId="44" applyNumberFormat="1" applyFont="1" applyBorder="1" applyAlignment="1">
      <alignment/>
    </xf>
    <xf numFmtId="41" fontId="19" fillId="0" borderId="10" xfId="44" applyNumberFormat="1" applyFont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 horizontal="left"/>
    </xf>
    <xf numFmtId="167" fontId="13" fillId="0" borderId="0" xfId="43" applyNumberFormat="1" applyFont="1" applyAlignment="1">
      <alignment horizontal="left"/>
    </xf>
    <xf numFmtId="41" fontId="14" fillId="0" borderId="0" xfId="0" applyNumberFormat="1" applyFont="1" applyAlignment="1">
      <alignment/>
    </xf>
    <xf numFmtId="164" fontId="13" fillId="0" borderId="0" xfId="43" applyNumberFormat="1" applyFont="1" applyAlignment="1">
      <alignment/>
    </xf>
    <xf numFmtId="167" fontId="13" fillId="0" borderId="0" xfId="43" applyNumberFormat="1" applyFont="1" applyAlignment="1">
      <alignment/>
    </xf>
    <xf numFmtId="0" fontId="27" fillId="0" borderId="0" xfId="0" applyFont="1" applyAlignment="1">
      <alignment/>
    </xf>
    <xf numFmtId="0" fontId="13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2" fillId="0" borderId="0" xfId="0" applyFont="1" applyAlignment="1">
      <alignment/>
    </xf>
    <xf numFmtId="167" fontId="13" fillId="0" borderId="0" xfId="43" applyNumberFormat="1" applyFont="1" applyBorder="1" applyAlignment="1">
      <alignment horizontal="center"/>
    </xf>
    <xf numFmtId="167" fontId="13" fillId="0" borderId="0" xfId="43" applyNumberFormat="1" applyFont="1" applyAlignment="1">
      <alignment horizontal="center"/>
    </xf>
    <xf numFmtId="167" fontId="19" fillId="0" borderId="0" xfId="43" applyNumberFormat="1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1" fontId="13" fillId="0" borderId="10" xfId="44" applyFont="1" applyFill="1" applyBorder="1" applyAlignment="1">
      <alignment horizontal="center"/>
    </xf>
    <xf numFmtId="41" fontId="13" fillId="0" borderId="0" xfId="43" applyNumberFormat="1" applyFont="1" applyAlignment="1">
      <alignment/>
    </xf>
    <xf numFmtId="41" fontId="22" fillId="0" borderId="0" xfId="0" applyNumberFormat="1" applyFont="1" applyAlignment="1">
      <alignment/>
    </xf>
    <xf numFmtId="41" fontId="22" fillId="0" borderId="10" xfId="51" applyNumberFormat="1" applyFont="1" applyFill="1" applyBorder="1" applyAlignment="1">
      <alignment horizontal="center"/>
    </xf>
    <xf numFmtId="41" fontId="13" fillId="0" borderId="0" xfId="0" applyNumberFormat="1" applyFont="1" applyAlignment="1">
      <alignment/>
    </xf>
    <xf numFmtId="168" fontId="22" fillId="0" borderId="10" xfId="51" applyNumberFormat="1" applyFont="1" applyFill="1" applyBorder="1" applyAlignment="1">
      <alignment horizontal="center"/>
    </xf>
    <xf numFmtId="41" fontId="22" fillId="0" borderId="10" xfId="51" applyNumberFormat="1" applyFont="1" applyFill="1" applyBorder="1" applyAlignment="1">
      <alignment horizontal="right"/>
    </xf>
    <xf numFmtId="41" fontId="13" fillId="34" borderId="0" xfId="0" applyNumberFormat="1" applyFont="1" applyFill="1" applyAlignment="1">
      <alignment/>
    </xf>
    <xf numFmtId="41" fontId="22" fillId="34" borderId="10" xfId="51" applyNumberFormat="1" applyFont="1" applyFill="1" applyBorder="1" applyAlignment="1">
      <alignment horizontal="right"/>
    </xf>
    <xf numFmtId="41" fontId="13" fillId="34" borderId="10" xfId="44" applyNumberFormat="1" applyFont="1" applyFill="1" applyBorder="1" applyAlignment="1">
      <alignment horizontal="center"/>
    </xf>
    <xf numFmtId="0" fontId="2" fillId="35" borderId="0" xfId="61" applyFont="1" applyFill="1" applyAlignment="1">
      <alignment horizontal="center"/>
      <protection/>
    </xf>
    <xf numFmtId="0" fontId="3" fillId="35" borderId="0" xfId="61" applyFont="1" applyFill="1" applyAlignment="1">
      <alignment horizontal="center"/>
      <protection/>
    </xf>
    <xf numFmtId="0" fontId="5" fillId="36" borderId="26" xfId="35" applyFont="1" applyFill="1" applyBorder="1" applyAlignment="1">
      <alignment horizontal="center" vertical="center"/>
    </xf>
    <xf numFmtId="0" fontId="5" fillId="36" borderId="27" xfId="35" applyFont="1" applyFill="1" applyBorder="1" applyAlignment="1">
      <alignment horizontal="center" vertical="center"/>
    </xf>
    <xf numFmtId="0" fontId="5" fillId="36" borderId="25" xfId="35" applyFont="1" applyFill="1" applyBorder="1" applyAlignment="1">
      <alignment horizontal="center" vertical="center"/>
    </xf>
    <xf numFmtId="0" fontId="5" fillId="36" borderId="28" xfId="35" applyFont="1" applyFill="1" applyBorder="1" applyAlignment="1">
      <alignment horizontal="center" vertical="center"/>
    </xf>
    <xf numFmtId="0" fontId="5" fillId="36" borderId="29" xfId="35" applyFont="1" applyFill="1" applyBorder="1" applyAlignment="1">
      <alignment horizontal="center" vertical="center"/>
    </xf>
    <xf numFmtId="0" fontId="5" fillId="36" borderId="24" xfId="35" applyFont="1" applyFill="1" applyBorder="1" applyAlignment="1">
      <alignment horizontal="center" vertical="center"/>
    </xf>
    <xf numFmtId="0" fontId="5" fillId="36" borderId="23" xfId="35" applyFont="1" applyFill="1" applyBorder="1" applyAlignment="1">
      <alignment horizontal="center" vertical="center"/>
    </xf>
    <xf numFmtId="0" fontId="5" fillId="36" borderId="21" xfId="35" applyFont="1" applyFill="1" applyBorder="1" applyAlignment="1">
      <alignment horizontal="center" vertical="center"/>
    </xf>
    <xf numFmtId="0" fontId="5" fillId="36" borderId="19" xfId="35" applyFont="1" applyFill="1" applyBorder="1" applyAlignment="1">
      <alignment horizontal="center" vertical="center"/>
    </xf>
    <xf numFmtId="49" fontId="6" fillId="33" borderId="30" xfId="61" applyNumberFormat="1" applyFont="1" applyFill="1" applyBorder="1" applyAlignment="1">
      <alignment horizontal="center" vertical="center" wrapText="1"/>
      <protection/>
    </xf>
    <xf numFmtId="49" fontId="6" fillId="33" borderId="31" xfId="61" applyNumberFormat="1" applyFont="1" applyFill="1" applyBorder="1" applyAlignment="1">
      <alignment horizontal="center" vertical="center" wrapText="1"/>
      <protection/>
    </xf>
    <xf numFmtId="165" fontId="5" fillId="33" borderId="26" xfId="35" applyNumberFormat="1" applyFont="1" applyFill="1" applyBorder="1" applyAlignment="1">
      <alignment horizontal="center" vertical="center"/>
    </xf>
    <xf numFmtId="165" fontId="5" fillId="33" borderId="27" xfId="35" applyNumberFormat="1" applyFont="1" applyFill="1" applyBorder="1" applyAlignment="1">
      <alignment horizontal="center" vertical="center"/>
    </xf>
    <xf numFmtId="165" fontId="5" fillId="33" borderId="25" xfId="35" applyNumberFormat="1" applyFont="1" applyFill="1" applyBorder="1" applyAlignment="1">
      <alignment horizontal="center" vertical="center"/>
    </xf>
    <xf numFmtId="165" fontId="6" fillId="33" borderId="11" xfId="35" applyNumberFormat="1" applyFont="1" applyFill="1" applyBorder="1" applyAlignment="1">
      <alignment horizontal="center" vertical="center"/>
    </xf>
    <xf numFmtId="165" fontId="6" fillId="33" borderId="20" xfId="35" applyNumberFormat="1" applyFont="1" applyFill="1" applyBorder="1" applyAlignment="1">
      <alignment horizontal="center" vertical="center"/>
    </xf>
    <xf numFmtId="41" fontId="5" fillId="36" borderId="11" xfId="46" applyNumberFormat="1" applyFont="1" applyFill="1" applyBorder="1" applyAlignment="1">
      <alignment horizontal="center" vertical="center"/>
    </xf>
    <xf numFmtId="41" fontId="5" fillId="36" borderId="22" xfId="46" applyNumberFormat="1" applyFont="1" applyFill="1" applyBorder="1" applyAlignment="1">
      <alignment horizontal="center" vertical="center"/>
    </xf>
    <xf numFmtId="41" fontId="5" fillId="36" borderId="20" xfId="46" applyNumberFormat="1" applyFont="1" applyFill="1" applyBorder="1" applyAlignment="1">
      <alignment horizontal="center" vertical="center"/>
    </xf>
    <xf numFmtId="0" fontId="5" fillId="36" borderId="11" xfId="61" applyFont="1" applyFill="1" applyBorder="1" applyAlignment="1">
      <alignment horizontal="center" vertical="center"/>
      <protection/>
    </xf>
    <xf numFmtId="0" fontId="5" fillId="36" borderId="22" xfId="61" applyFont="1" applyFill="1" applyBorder="1" applyAlignment="1">
      <alignment horizontal="center" vertical="center"/>
      <protection/>
    </xf>
    <xf numFmtId="0" fontId="5" fillId="36" borderId="20" xfId="61" applyFont="1" applyFill="1" applyBorder="1" applyAlignment="1">
      <alignment horizontal="center" vertical="center"/>
      <protection/>
    </xf>
    <xf numFmtId="0" fontId="5" fillId="36" borderId="11" xfId="35" applyFont="1" applyFill="1" applyBorder="1" applyAlignment="1">
      <alignment horizontal="center" vertical="center"/>
    </xf>
    <xf numFmtId="0" fontId="5" fillId="36" borderId="22" xfId="35" applyFont="1" applyFill="1" applyBorder="1" applyAlignment="1">
      <alignment horizontal="center" vertical="center"/>
    </xf>
    <xf numFmtId="0" fontId="5" fillId="36" borderId="20" xfId="35" applyFont="1" applyFill="1" applyBorder="1" applyAlignment="1">
      <alignment horizontal="center" vertical="center"/>
    </xf>
    <xf numFmtId="41" fontId="5" fillId="36" borderId="18" xfId="46" applyNumberFormat="1" applyFont="1" applyFill="1" applyBorder="1" applyAlignment="1">
      <alignment horizontal="center" vertical="center"/>
    </xf>
    <xf numFmtId="41" fontId="5" fillId="36" borderId="11" xfId="61" applyNumberFormat="1" applyFont="1" applyFill="1" applyBorder="1" applyAlignment="1">
      <alignment horizontal="center" vertical="center"/>
      <protection/>
    </xf>
    <xf numFmtId="41" fontId="5" fillId="36" borderId="22" xfId="61" applyNumberFormat="1" applyFont="1" applyFill="1" applyBorder="1" applyAlignment="1">
      <alignment horizontal="center" vertical="center"/>
      <protection/>
    </xf>
    <xf numFmtId="41" fontId="5" fillId="36" borderId="20" xfId="61" applyNumberFormat="1" applyFont="1" applyFill="1" applyBorder="1" applyAlignment="1">
      <alignment horizontal="center" vertical="center"/>
      <protection/>
    </xf>
    <xf numFmtId="41" fontId="5" fillId="36" borderId="32" xfId="46" applyNumberFormat="1" applyFont="1" applyFill="1" applyBorder="1" applyAlignment="1">
      <alignment horizontal="center" vertical="center"/>
    </xf>
    <xf numFmtId="41" fontId="5" fillId="36" borderId="33" xfId="46" applyNumberFormat="1" applyFont="1" applyFill="1" applyBorder="1" applyAlignment="1">
      <alignment horizontal="center" vertical="center"/>
    </xf>
    <xf numFmtId="41" fontId="5" fillId="36" borderId="10" xfId="46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6" borderId="11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5" fillId="37" borderId="12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41" fontId="5" fillId="36" borderId="34" xfId="46" applyNumberFormat="1" applyFont="1" applyFill="1" applyBorder="1" applyAlignment="1">
      <alignment horizontal="center"/>
    </xf>
    <xf numFmtId="41" fontId="5" fillId="36" borderId="35" xfId="46" applyNumberFormat="1" applyFont="1" applyFill="1" applyBorder="1" applyAlignment="1">
      <alignment horizontal="center"/>
    </xf>
    <xf numFmtId="41" fontId="5" fillId="36" borderId="36" xfId="46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8" xfId="0" applyFont="1" applyBorder="1" applyAlignment="1">
      <alignment horizontal="right"/>
    </xf>
    <xf numFmtId="0" fontId="19" fillId="36" borderId="14" xfId="0" applyFont="1" applyFill="1" applyBorder="1" applyAlignment="1">
      <alignment horizontal="center" vertical="center"/>
    </xf>
    <xf numFmtId="0" fontId="19" fillId="36" borderId="25" xfId="0" applyFont="1" applyFill="1" applyBorder="1" applyAlignment="1">
      <alignment horizontal="center" vertical="center"/>
    </xf>
    <xf numFmtId="167" fontId="19" fillId="36" borderId="14" xfId="43" applyNumberFormat="1" applyFont="1" applyFill="1" applyBorder="1" applyAlignment="1">
      <alignment horizontal="center" vertical="center"/>
    </xf>
    <xf numFmtId="167" fontId="19" fillId="36" borderId="25" xfId="43" applyNumberFormat="1" applyFont="1" applyFill="1" applyBorder="1" applyAlignment="1">
      <alignment horizontal="center" vertical="center"/>
    </xf>
    <xf numFmtId="167" fontId="13" fillId="0" borderId="0" xfId="43" applyNumberFormat="1" applyFont="1" applyAlignment="1">
      <alignment horizontal="center"/>
    </xf>
    <xf numFmtId="0" fontId="5" fillId="36" borderId="38" xfId="35" applyFont="1" applyFill="1" applyBorder="1" applyAlignment="1">
      <alignment horizontal="center" vertical="center"/>
    </xf>
    <xf numFmtId="0" fontId="5" fillId="36" borderId="0" xfId="35" applyFont="1" applyFill="1" applyBorder="1" applyAlignment="1">
      <alignment horizontal="center" vertical="center"/>
    </xf>
    <xf numFmtId="0" fontId="5" fillId="36" borderId="18" xfId="35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2 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[0] 2 2" xfId="46"/>
    <cellStyle name="Comma [0] 2 2 2" xfId="47"/>
    <cellStyle name="Comma 2" xfId="48"/>
    <cellStyle name="Comma 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266700</xdr:colOff>
      <xdr:row>1</xdr:row>
      <xdr:rowOff>371475</xdr:rowOff>
    </xdr:to>
    <xdr:pic>
      <xdr:nvPicPr>
        <xdr:cNvPr id="1" name="Picture 2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419100</xdr:colOff>
      <xdr:row>2</xdr:row>
      <xdr:rowOff>142875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2</xdr:col>
      <xdr:colOff>390525</xdr:colOff>
      <xdr:row>2</xdr:row>
      <xdr:rowOff>123825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2</xdr:col>
      <xdr:colOff>381000</xdr:colOff>
      <xdr:row>2</xdr:row>
      <xdr:rowOff>266700</xdr:rowOff>
    </xdr:to>
    <xdr:pic>
      <xdr:nvPicPr>
        <xdr:cNvPr id="1" name="Picture 6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52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2</xdr:col>
      <xdr:colOff>390525</xdr:colOff>
      <xdr:row>2</xdr:row>
      <xdr:rowOff>152400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2</xdr:col>
      <xdr:colOff>276225</xdr:colOff>
      <xdr:row>2</xdr:row>
      <xdr:rowOff>142875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400050</xdr:colOff>
      <xdr:row>2</xdr:row>
      <xdr:rowOff>276225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2</xdr:col>
      <xdr:colOff>285750</xdr:colOff>
      <xdr:row>2</xdr:row>
      <xdr:rowOff>95250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752475</xdr:colOff>
      <xdr:row>1</xdr:row>
      <xdr:rowOff>200025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2</xdr:col>
      <xdr:colOff>295275</xdr:colOff>
      <xdr:row>2</xdr:row>
      <xdr:rowOff>19050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381000</xdr:colOff>
      <xdr:row>2</xdr:row>
      <xdr:rowOff>152400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209550</xdr:colOff>
      <xdr:row>2</xdr:row>
      <xdr:rowOff>47625</xdr:rowOff>
    </xdr:to>
    <xdr:pic>
      <xdr:nvPicPr>
        <xdr:cNvPr id="1" name="Picture 1" descr="logo baz sr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60;\IRA\LAPORAN%20DEP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 2016"/>
      <sheetName val="Des16"/>
      <sheetName val="januari 2017"/>
      <sheetName val="feb"/>
      <sheetName val="Feb2"/>
      <sheetName val="maret"/>
      <sheetName val="april"/>
      <sheetName val="Mei"/>
      <sheetName val="Juni"/>
      <sheetName val="Juli"/>
      <sheetName val="Juli2"/>
      <sheetName val="Agustus"/>
      <sheetName val="September"/>
      <sheetName val="Oktober"/>
      <sheetName val="November"/>
      <sheetName val="Desember"/>
      <sheetName val="Sheet1"/>
      <sheetName val="Sheet2"/>
    </sheetNames>
    <sheetDataSet>
      <sheetData sheetId="1">
        <row r="28">
          <cell r="F28">
            <v>1733263343</v>
          </cell>
        </row>
        <row r="33">
          <cell r="F33">
            <v>2675000</v>
          </cell>
        </row>
        <row r="40">
          <cell r="F40">
            <v>1124315303</v>
          </cell>
        </row>
      </sheetData>
      <sheetData sheetId="2">
        <row r="28">
          <cell r="F28">
            <v>1817513369</v>
          </cell>
        </row>
        <row r="30">
          <cell r="F30">
            <v>2675000</v>
          </cell>
        </row>
        <row r="40">
          <cell r="F40">
            <v>1151312680</v>
          </cell>
        </row>
      </sheetData>
      <sheetData sheetId="3">
        <row r="33">
          <cell r="F33">
            <v>2675000</v>
          </cell>
        </row>
      </sheetData>
      <sheetData sheetId="4">
        <row r="28">
          <cell r="F28">
            <v>1896452740</v>
          </cell>
        </row>
        <row r="40">
          <cell r="F40">
            <v>1176498770</v>
          </cell>
        </row>
      </sheetData>
      <sheetData sheetId="5">
        <row r="28">
          <cell r="F28">
            <v>1995294497</v>
          </cell>
        </row>
        <row r="33">
          <cell r="F33">
            <v>2675000</v>
          </cell>
        </row>
        <row r="40">
          <cell r="F40">
            <v>1192283329</v>
          </cell>
        </row>
      </sheetData>
      <sheetData sheetId="6">
        <row r="28">
          <cell r="F28">
            <v>2049659443</v>
          </cell>
        </row>
        <row r="40">
          <cell r="F40">
            <v>1221072836</v>
          </cell>
        </row>
      </sheetData>
      <sheetData sheetId="7">
        <row r="28">
          <cell r="F28">
            <v>1986662359</v>
          </cell>
        </row>
        <row r="40">
          <cell r="F40">
            <v>1198324673</v>
          </cell>
        </row>
      </sheetData>
      <sheetData sheetId="8">
        <row r="28">
          <cell r="F28">
            <v>1618209514</v>
          </cell>
        </row>
        <row r="40">
          <cell r="F40">
            <v>1160068608</v>
          </cell>
        </row>
      </sheetData>
      <sheetData sheetId="10">
        <row r="28">
          <cell r="F28">
            <v>1527235324</v>
          </cell>
        </row>
        <row r="40">
          <cell r="F40">
            <v>1264278339</v>
          </cell>
        </row>
      </sheetData>
      <sheetData sheetId="11">
        <row r="28">
          <cell r="F28">
            <v>1645559568</v>
          </cell>
        </row>
        <row r="40">
          <cell r="F40">
            <v>1365008257</v>
          </cell>
        </row>
      </sheetData>
      <sheetData sheetId="12">
        <row r="28">
          <cell r="F28">
            <v>1438033668</v>
          </cell>
        </row>
        <row r="33">
          <cell r="F33">
            <v>2675000</v>
          </cell>
        </row>
        <row r="40">
          <cell r="F40">
            <v>1394688442</v>
          </cell>
        </row>
      </sheetData>
      <sheetData sheetId="13">
        <row r="28">
          <cell r="F28">
            <v>1319705877</v>
          </cell>
        </row>
        <row r="33">
          <cell r="F33">
            <v>2675000</v>
          </cell>
        </row>
        <row r="40">
          <cell r="F40">
            <v>1353421006</v>
          </cell>
        </row>
      </sheetData>
      <sheetData sheetId="14">
        <row r="28">
          <cell r="F28">
            <v>1121140730</v>
          </cell>
        </row>
        <row r="33">
          <cell r="F33">
            <v>2675000</v>
          </cell>
        </row>
        <row r="40">
          <cell r="F40">
            <v>1358659269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310">
      <selection activeCell="C8" sqref="C8"/>
    </sheetView>
  </sheetViews>
  <sheetFormatPr defaultColWidth="9.140625" defaultRowHeight="15"/>
  <cols>
    <col min="1" max="1" width="5.140625" style="0" bestFit="1" customWidth="1"/>
    <col min="2" max="2" width="4.28125" style="0" bestFit="1" customWidth="1"/>
    <col min="3" max="3" width="35.57421875" style="0" customWidth="1"/>
    <col min="4" max="4" width="18.7109375" style="0" customWidth="1"/>
    <col min="5" max="6" width="20.7109375" style="0" customWidth="1"/>
    <col min="7" max="9" width="16.7109375" style="0" customWidth="1"/>
    <col min="10" max="10" width="14.7109375" style="0" customWidth="1"/>
    <col min="11" max="11" width="12.5742187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747</v>
      </c>
      <c r="F7" s="259"/>
    </row>
    <row r="8" spans="1:6" ht="18.75">
      <c r="A8" s="246" t="s">
        <v>748</v>
      </c>
      <c r="B8" s="246"/>
      <c r="C8" s="136" t="s">
        <v>870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136"/>
      <c r="F20" s="136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784</v>
      </c>
      <c r="C22" s="135"/>
      <c r="D22" s="135"/>
      <c r="E22" s="135"/>
      <c r="F22" s="137"/>
    </row>
    <row r="23" spans="2:6" ht="18.75">
      <c r="B23" s="135" t="s">
        <v>756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762</v>
      </c>
      <c r="D29" s="147"/>
      <c r="E29" s="147"/>
      <c r="F29" s="148">
        <f>'[1]Des16'!F28</f>
        <v>1733263343</v>
      </c>
    </row>
    <row r="30" spans="1:6" ht="18.75">
      <c r="A30" s="140"/>
      <c r="B30" s="145"/>
      <c r="C30" s="146" t="s">
        <v>763</v>
      </c>
      <c r="D30" s="149">
        <v>109285026</v>
      </c>
      <c r="E30" s="150"/>
      <c r="F30" s="147"/>
    </row>
    <row r="31" spans="1:6" ht="18.75">
      <c r="A31" s="140"/>
      <c r="B31" s="145"/>
      <c r="C31" s="146" t="s">
        <v>764</v>
      </c>
      <c r="D31" s="147"/>
      <c r="E31" s="151">
        <v>25035000</v>
      </c>
      <c r="F31" s="147"/>
    </row>
    <row r="32" spans="1:6" ht="18.75">
      <c r="A32" s="140"/>
      <c r="B32" s="145"/>
      <c r="C32" s="152" t="s">
        <v>765</v>
      </c>
      <c r="D32" s="147"/>
      <c r="E32" s="151"/>
      <c r="F32" s="148">
        <f>F29+D30-E31</f>
        <v>1817513369</v>
      </c>
    </row>
    <row r="33" spans="1:6" ht="18.75">
      <c r="A33" s="140"/>
      <c r="B33" s="141"/>
      <c r="C33" s="153" t="s">
        <v>766</v>
      </c>
      <c r="D33" s="154"/>
      <c r="E33" s="154"/>
      <c r="F33" s="155"/>
    </row>
    <row r="34" spans="1:6" ht="18.75">
      <c r="A34" s="140"/>
      <c r="B34" s="145"/>
      <c r="C34" s="146" t="s">
        <v>762</v>
      </c>
      <c r="D34" s="151"/>
      <c r="E34" s="156"/>
      <c r="F34" s="157">
        <f>'[1]Des16'!F33</f>
        <v>2675000</v>
      </c>
    </row>
    <row r="35" spans="1:6" ht="18.75">
      <c r="A35" s="140"/>
      <c r="B35" s="145"/>
      <c r="C35" s="146" t="s">
        <v>763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764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109285026</v>
      </c>
      <c r="E38" s="160">
        <f>E31+E36</f>
        <v>25035000</v>
      </c>
      <c r="F38" s="161">
        <f>F32+F37</f>
        <v>1820188369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762</v>
      </c>
      <c r="D41" s="147"/>
      <c r="E41" s="166"/>
      <c r="F41" s="160">
        <f>'[1]Des16'!F40</f>
        <v>1124315303</v>
      </c>
    </row>
    <row r="42" spans="1:6" ht="18.75">
      <c r="A42" s="167"/>
      <c r="B42" s="145"/>
      <c r="C42" s="146" t="s">
        <v>763</v>
      </c>
      <c r="D42" s="150">
        <v>43981527</v>
      </c>
      <c r="E42" s="168"/>
      <c r="F42" s="166"/>
    </row>
    <row r="43" spans="1:6" ht="18.75">
      <c r="A43" s="140"/>
      <c r="B43" s="145"/>
      <c r="C43" s="146" t="s">
        <v>764</v>
      </c>
      <c r="D43" s="150"/>
      <c r="E43" s="169">
        <v>16984150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1151312680</v>
      </c>
    </row>
    <row r="45" spans="1:6" ht="18.75">
      <c r="A45" s="140"/>
      <c r="B45" s="145"/>
      <c r="C45" s="171" t="s">
        <v>769</v>
      </c>
      <c r="D45" s="172">
        <f>D30+D42</f>
        <v>153266553</v>
      </c>
      <c r="E45" s="172">
        <f>E31+E43</f>
        <v>42019150</v>
      </c>
      <c r="F45" s="173">
        <f>F38+F44</f>
        <v>2971501049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79"/>
    </row>
    <row r="48" spans="1:6" ht="18.75">
      <c r="A48" s="175"/>
      <c r="B48" s="176" t="s">
        <v>772</v>
      </c>
      <c r="C48" s="137"/>
      <c r="D48" s="177"/>
      <c r="E48" s="137"/>
      <c r="F48" s="180"/>
    </row>
    <row r="49" spans="1:6" ht="18.75">
      <c r="A49" s="175"/>
      <c r="B49" s="176" t="s">
        <v>773</v>
      </c>
      <c r="C49" s="137"/>
      <c r="D49" s="177"/>
      <c r="E49" s="137"/>
      <c r="F49" s="180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3" spans="1:9" ht="22.5">
      <c r="A63" s="206" t="s">
        <v>0</v>
      </c>
      <c r="B63" s="206"/>
      <c r="C63" s="206"/>
      <c r="D63" s="206"/>
      <c r="E63" s="206"/>
      <c r="F63" s="206"/>
      <c r="G63" s="206"/>
      <c r="H63" s="206"/>
      <c r="I63" s="206"/>
    </row>
    <row r="64" spans="1:9" ht="22.5">
      <c r="A64" s="206" t="s">
        <v>1</v>
      </c>
      <c r="B64" s="206"/>
      <c r="C64" s="206"/>
      <c r="D64" s="206"/>
      <c r="E64" s="206"/>
      <c r="F64" s="206"/>
      <c r="G64" s="206"/>
      <c r="H64" s="206"/>
      <c r="I64" s="206"/>
    </row>
    <row r="65" spans="1:9" ht="20.25">
      <c r="A65" s="207" t="s">
        <v>200</v>
      </c>
      <c r="B65" s="207"/>
      <c r="C65" s="207"/>
      <c r="D65" s="207"/>
      <c r="E65" s="207"/>
      <c r="F65" s="207"/>
      <c r="G65" s="207"/>
      <c r="H65" s="207"/>
      <c r="I65" s="207"/>
    </row>
    <row r="66" spans="1:9" ht="15.75" thickBot="1">
      <c r="A66" s="1"/>
      <c r="B66" s="1"/>
      <c r="C66" s="1"/>
      <c r="D66" s="1"/>
      <c r="E66" s="1"/>
      <c r="F66" s="1"/>
      <c r="G66" s="1"/>
      <c r="H66" s="1"/>
      <c r="I66" s="1"/>
    </row>
    <row r="67" spans="1:9" ht="15.75" customHeight="1" thickTop="1">
      <c r="A67" s="208" t="s">
        <v>2</v>
      </c>
      <c r="B67" s="211" t="s">
        <v>3</v>
      </c>
      <c r="C67" s="212"/>
      <c r="D67" s="217" t="s">
        <v>4</v>
      </c>
      <c r="E67" s="218"/>
      <c r="F67" s="219" t="s">
        <v>5</v>
      </c>
      <c r="G67" s="217" t="s">
        <v>4</v>
      </c>
      <c r="H67" s="218"/>
      <c r="I67" s="219" t="s">
        <v>5</v>
      </c>
    </row>
    <row r="68" spans="1:9" ht="15">
      <c r="A68" s="209"/>
      <c r="B68" s="213"/>
      <c r="C68" s="214"/>
      <c r="D68" s="222" t="s">
        <v>201</v>
      </c>
      <c r="E68" s="223"/>
      <c r="F68" s="220"/>
      <c r="G68" s="222" t="s">
        <v>202</v>
      </c>
      <c r="H68" s="223"/>
      <c r="I68" s="220"/>
    </row>
    <row r="69" spans="1:12" ht="15">
      <c r="A69" s="210"/>
      <c r="B69" s="215"/>
      <c r="C69" s="216"/>
      <c r="D69" s="2" t="s">
        <v>6</v>
      </c>
      <c r="E69" s="2" t="s">
        <v>7</v>
      </c>
      <c r="F69" s="221"/>
      <c r="G69" s="2" t="s">
        <v>6</v>
      </c>
      <c r="H69" s="2" t="s">
        <v>7</v>
      </c>
      <c r="I69" s="221"/>
      <c r="L69" t="s">
        <v>198</v>
      </c>
    </row>
    <row r="70" spans="1:9" ht="15">
      <c r="A70" s="230" t="s">
        <v>8</v>
      </c>
      <c r="B70" s="231"/>
      <c r="C70" s="231"/>
      <c r="D70" s="231"/>
      <c r="E70" s="231"/>
      <c r="F70" s="231"/>
      <c r="G70" s="231"/>
      <c r="H70" s="231"/>
      <c r="I70" s="232"/>
    </row>
    <row r="71" spans="1:9" ht="15">
      <c r="A71" s="3">
        <v>1</v>
      </c>
      <c r="B71" s="3">
        <v>1</v>
      </c>
      <c r="C71" s="4" t="s">
        <v>9</v>
      </c>
      <c r="D71" s="5"/>
      <c r="E71" s="5">
        <v>2500000</v>
      </c>
      <c r="F71" s="6">
        <f>SUM(D71:E71)</f>
        <v>2500000</v>
      </c>
      <c r="G71" s="5"/>
      <c r="H71" s="5"/>
      <c r="I71" s="6">
        <f>SUM(G71:H71)</f>
        <v>0</v>
      </c>
    </row>
    <row r="72" spans="1:9" ht="15">
      <c r="A72" s="3">
        <v>2</v>
      </c>
      <c r="B72" s="3">
        <v>2</v>
      </c>
      <c r="C72" s="4" t="s">
        <v>10</v>
      </c>
      <c r="D72" s="5"/>
      <c r="E72" s="5"/>
      <c r="F72" s="6">
        <f>SUM(D72:E72)</f>
        <v>0</v>
      </c>
      <c r="G72" s="5"/>
      <c r="H72" s="5"/>
      <c r="I72" s="6">
        <f>SUM(G72:H72)</f>
        <v>0</v>
      </c>
    </row>
    <row r="73" spans="1:9" ht="15">
      <c r="A73" s="224" t="s">
        <v>5</v>
      </c>
      <c r="B73" s="225"/>
      <c r="C73" s="225"/>
      <c r="D73" s="7">
        <f>SUM(D71:D72)</f>
        <v>0</v>
      </c>
      <c r="E73" s="8">
        <f>SUM(E71:E72)</f>
        <v>2500000</v>
      </c>
      <c r="F73" s="7">
        <f>SUM(D73:E73)</f>
        <v>2500000</v>
      </c>
      <c r="G73" s="7">
        <f>SUM(G71:G72)</f>
        <v>0</v>
      </c>
      <c r="H73" s="8">
        <f>SUM(H71:H72)</f>
        <v>0</v>
      </c>
      <c r="I73" s="7">
        <f>SUM(G73:H73)</f>
        <v>0</v>
      </c>
    </row>
    <row r="74" spans="1:9" ht="15">
      <c r="A74" s="227" t="s">
        <v>11</v>
      </c>
      <c r="B74" s="228"/>
      <c r="C74" s="228"/>
      <c r="D74" s="228"/>
      <c r="E74" s="228"/>
      <c r="F74" s="228"/>
      <c r="G74" s="228"/>
      <c r="H74" s="228"/>
      <c r="I74" s="229"/>
    </row>
    <row r="75" spans="1:9" ht="15">
      <c r="A75" s="9">
        <v>3</v>
      </c>
      <c r="B75" s="9">
        <v>1</v>
      </c>
      <c r="C75" s="10" t="s">
        <v>12</v>
      </c>
      <c r="D75" s="5">
        <v>1861100</v>
      </c>
      <c r="E75" s="5"/>
      <c r="F75" s="6">
        <f>SUM(D75:E75)</f>
        <v>1861100</v>
      </c>
      <c r="G75" s="5">
        <v>1863770</v>
      </c>
      <c r="H75" s="5"/>
      <c r="I75" s="6">
        <f>SUM(G75:H75)</f>
        <v>1863770</v>
      </c>
    </row>
    <row r="76" spans="1:9" ht="15">
      <c r="A76" s="224" t="s">
        <v>5</v>
      </c>
      <c r="B76" s="225"/>
      <c r="C76" s="225"/>
      <c r="D76" s="7">
        <f>SUM(D74:D75)</f>
        <v>1861100</v>
      </c>
      <c r="E76" s="8">
        <f>SUM(E74:E75)</f>
        <v>0</v>
      </c>
      <c r="F76" s="7">
        <f>SUM(D76:E76)</f>
        <v>1861100</v>
      </c>
      <c r="G76" s="7">
        <f>SUM(G74:G75)</f>
        <v>1863770</v>
      </c>
      <c r="H76" s="8">
        <f>SUM(H74:H75)</f>
        <v>0</v>
      </c>
      <c r="I76" s="7">
        <f>SUM(G76:H76)</f>
        <v>1863770</v>
      </c>
    </row>
    <row r="77" spans="1:9" ht="15">
      <c r="A77" s="224" t="s">
        <v>13</v>
      </c>
      <c r="B77" s="225"/>
      <c r="C77" s="225"/>
      <c r="D77" s="225"/>
      <c r="E77" s="225"/>
      <c r="F77" s="225"/>
      <c r="G77" s="225"/>
      <c r="H77" s="225"/>
      <c r="I77" s="226"/>
    </row>
    <row r="78" spans="1:9" ht="15">
      <c r="A78" s="11">
        <v>4</v>
      </c>
      <c r="B78" s="12">
        <v>1</v>
      </c>
      <c r="C78" s="13" t="s">
        <v>14</v>
      </c>
      <c r="D78" s="5">
        <v>1874500</v>
      </c>
      <c r="E78" s="5">
        <v>494000</v>
      </c>
      <c r="F78" s="6">
        <f aca="true" t="shared" si="0" ref="F78:F85">SUM(D78:E78)</f>
        <v>2368500</v>
      </c>
      <c r="G78" s="5">
        <v>1874500</v>
      </c>
      <c r="H78" s="5">
        <v>464000</v>
      </c>
      <c r="I78" s="6">
        <f aca="true" t="shared" si="1" ref="I78:I85">SUM(G78:H78)</f>
        <v>2338500</v>
      </c>
    </row>
    <row r="79" spans="1:9" ht="15">
      <c r="A79" s="11">
        <v>5</v>
      </c>
      <c r="B79" s="12">
        <v>2</v>
      </c>
      <c r="C79" s="13" t="s">
        <v>234</v>
      </c>
      <c r="D79" s="5">
        <v>959587</v>
      </c>
      <c r="E79" s="5">
        <v>286550</v>
      </c>
      <c r="F79" s="6">
        <f t="shared" si="0"/>
        <v>1246137</v>
      </c>
      <c r="G79" s="5">
        <v>1022200</v>
      </c>
      <c r="H79" s="5">
        <v>286550</v>
      </c>
      <c r="I79" s="6">
        <f t="shared" si="1"/>
        <v>1308750</v>
      </c>
    </row>
    <row r="80" spans="1:9" ht="15">
      <c r="A80" s="11">
        <v>6</v>
      </c>
      <c r="B80" s="12">
        <v>3</v>
      </c>
      <c r="C80" s="13" t="s">
        <v>15</v>
      </c>
      <c r="D80" s="5">
        <v>2549700</v>
      </c>
      <c r="E80" s="14">
        <v>269300</v>
      </c>
      <c r="F80" s="6">
        <f t="shared" si="0"/>
        <v>2819000</v>
      </c>
      <c r="G80" s="5">
        <v>2560700</v>
      </c>
      <c r="H80" s="14">
        <v>269300</v>
      </c>
      <c r="I80" s="6">
        <f t="shared" si="1"/>
        <v>2830000</v>
      </c>
    </row>
    <row r="81" spans="1:9" ht="15">
      <c r="A81" s="11">
        <v>7</v>
      </c>
      <c r="B81" s="12">
        <v>4</v>
      </c>
      <c r="C81" s="13" t="s">
        <v>16</v>
      </c>
      <c r="D81" s="5">
        <v>2119800</v>
      </c>
      <c r="E81" s="5">
        <v>147300</v>
      </c>
      <c r="F81" s="6">
        <f t="shared" si="0"/>
        <v>2267100</v>
      </c>
      <c r="G81" s="5"/>
      <c r="H81" s="5"/>
      <c r="I81" s="6">
        <f t="shared" si="1"/>
        <v>0</v>
      </c>
    </row>
    <row r="82" spans="1:9" ht="15">
      <c r="A82" s="11">
        <v>8</v>
      </c>
      <c r="B82" s="12">
        <v>5</v>
      </c>
      <c r="C82" s="13" t="s">
        <v>17</v>
      </c>
      <c r="D82" s="5">
        <f>610000+613000</f>
        <v>1223000</v>
      </c>
      <c r="E82" s="5">
        <f>845000+825000</f>
        <v>1670000</v>
      </c>
      <c r="F82" s="6">
        <f t="shared" si="0"/>
        <v>2893000</v>
      </c>
      <c r="G82" s="5"/>
      <c r="H82" s="5"/>
      <c r="I82" s="6">
        <f t="shared" si="1"/>
        <v>0</v>
      </c>
    </row>
    <row r="83" spans="1:9" ht="15">
      <c r="A83" s="11">
        <v>9</v>
      </c>
      <c r="B83" s="12">
        <v>6</v>
      </c>
      <c r="C83" s="13" t="s">
        <v>18</v>
      </c>
      <c r="D83" s="5">
        <v>1527000</v>
      </c>
      <c r="E83" s="5">
        <v>52000</v>
      </c>
      <c r="F83" s="6">
        <f t="shared" si="0"/>
        <v>1579000</v>
      </c>
      <c r="G83" s="5">
        <v>1528000</v>
      </c>
      <c r="H83" s="5">
        <v>52000</v>
      </c>
      <c r="I83" s="6">
        <f t="shared" si="1"/>
        <v>1580000</v>
      </c>
    </row>
    <row r="84" spans="1:9" ht="15">
      <c r="A84" s="11">
        <v>10</v>
      </c>
      <c r="B84" s="12">
        <v>7</v>
      </c>
      <c r="C84" s="15" t="s">
        <v>19</v>
      </c>
      <c r="D84" s="5">
        <f>324810+324810</f>
        <v>649620</v>
      </c>
      <c r="E84" s="5">
        <f>58000+58000</f>
        <v>116000</v>
      </c>
      <c r="F84" s="6">
        <f t="shared" si="0"/>
        <v>765620</v>
      </c>
      <c r="G84" s="5">
        <v>324810</v>
      </c>
      <c r="H84" s="5">
        <v>58000</v>
      </c>
      <c r="I84" s="6">
        <f t="shared" si="1"/>
        <v>382810</v>
      </c>
    </row>
    <row r="85" spans="1:11" ht="15">
      <c r="A85" s="224" t="s">
        <v>5</v>
      </c>
      <c r="B85" s="225"/>
      <c r="C85" s="225"/>
      <c r="D85" s="7">
        <f>SUM(D78:D84)</f>
        <v>10903207</v>
      </c>
      <c r="E85" s="7">
        <f>SUM(E78:E84)</f>
        <v>3035150</v>
      </c>
      <c r="F85" s="7">
        <f t="shared" si="0"/>
        <v>13938357</v>
      </c>
      <c r="G85" s="7">
        <f>SUM(G78:G84)</f>
        <v>7310210</v>
      </c>
      <c r="H85" s="7">
        <f>SUM(H78:H84)</f>
        <v>1129850</v>
      </c>
      <c r="I85" s="7">
        <f t="shared" si="1"/>
        <v>8440060</v>
      </c>
      <c r="K85" s="16"/>
    </row>
    <row r="86" spans="1:9" ht="15">
      <c r="A86" s="224" t="s">
        <v>20</v>
      </c>
      <c r="B86" s="225"/>
      <c r="C86" s="225"/>
      <c r="D86" s="225"/>
      <c r="E86" s="225"/>
      <c r="F86" s="225"/>
      <c r="G86" s="225"/>
      <c r="H86" s="225"/>
      <c r="I86" s="226"/>
    </row>
    <row r="87" spans="1:9" ht="15">
      <c r="A87" s="17">
        <v>11</v>
      </c>
      <c r="B87" s="15">
        <v>1</v>
      </c>
      <c r="C87" s="13" t="s">
        <v>255</v>
      </c>
      <c r="D87" s="5">
        <v>2621733</v>
      </c>
      <c r="E87" s="18">
        <v>1797215</v>
      </c>
      <c r="F87" s="6">
        <f>SUM(D87:E87)</f>
        <v>4418948</v>
      </c>
      <c r="G87" s="5">
        <v>2399738</v>
      </c>
      <c r="H87" s="18">
        <v>1439215</v>
      </c>
      <c r="I87" s="6">
        <f>SUM(G87:H87)</f>
        <v>3838953</v>
      </c>
    </row>
    <row r="88" spans="1:9" ht="15">
      <c r="A88" s="17">
        <v>12</v>
      </c>
      <c r="B88" s="15">
        <v>2</v>
      </c>
      <c r="C88" s="13" t="s">
        <v>21</v>
      </c>
      <c r="D88" s="5">
        <v>3695631</v>
      </c>
      <c r="E88" s="5">
        <v>5100000</v>
      </c>
      <c r="F88" s="6">
        <f aca="true" t="shared" si="2" ref="F88:F100">SUM(D88:E88)</f>
        <v>8795631</v>
      </c>
      <c r="G88" s="5">
        <v>3711498</v>
      </c>
      <c r="H88" s="5">
        <v>5110000</v>
      </c>
      <c r="I88" s="6">
        <f aca="true" t="shared" si="3" ref="I88:I100">SUM(G88:H88)</f>
        <v>8821498</v>
      </c>
    </row>
    <row r="89" spans="1:9" ht="15">
      <c r="A89" s="17">
        <v>13</v>
      </c>
      <c r="B89" s="15">
        <v>3</v>
      </c>
      <c r="C89" s="13" t="s">
        <v>22</v>
      </c>
      <c r="D89" s="5">
        <v>2769828</v>
      </c>
      <c r="E89" s="5">
        <v>779000</v>
      </c>
      <c r="F89" s="6">
        <f t="shared" si="2"/>
        <v>3548828</v>
      </c>
      <c r="G89" s="5">
        <v>2703828</v>
      </c>
      <c r="H89" s="5">
        <v>772000</v>
      </c>
      <c r="I89" s="6">
        <f t="shared" si="3"/>
        <v>3475828</v>
      </c>
    </row>
    <row r="90" spans="1:9" ht="15">
      <c r="A90" s="17">
        <v>14</v>
      </c>
      <c r="B90" s="15">
        <v>4</v>
      </c>
      <c r="C90" s="13" t="s">
        <v>23</v>
      </c>
      <c r="D90" s="5">
        <v>969587</v>
      </c>
      <c r="E90" s="5">
        <v>1410392</v>
      </c>
      <c r="F90" s="6">
        <f t="shared" si="2"/>
        <v>2379979</v>
      </c>
      <c r="G90" s="5">
        <v>969587</v>
      </c>
      <c r="H90" s="5">
        <v>1405392</v>
      </c>
      <c r="I90" s="6">
        <f t="shared" si="3"/>
        <v>2374979</v>
      </c>
    </row>
    <row r="91" spans="1:9" ht="15">
      <c r="A91" s="17">
        <v>15</v>
      </c>
      <c r="B91" s="15">
        <v>5</v>
      </c>
      <c r="C91" s="13" t="s">
        <v>24</v>
      </c>
      <c r="D91" s="5">
        <v>2440700</v>
      </c>
      <c r="E91" s="5">
        <v>95000</v>
      </c>
      <c r="F91" s="6">
        <f t="shared" si="2"/>
        <v>2535700</v>
      </c>
      <c r="G91" s="5">
        <v>2459700</v>
      </c>
      <c r="H91" s="5">
        <v>95000</v>
      </c>
      <c r="I91" s="6">
        <f t="shared" si="3"/>
        <v>2554700</v>
      </c>
    </row>
    <row r="92" spans="1:9" ht="15">
      <c r="A92" s="17">
        <v>16</v>
      </c>
      <c r="B92" s="15">
        <v>6</v>
      </c>
      <c r="C92" s="13" t="s">
        <v>25</v>
      </c>
      <c r="D92" s="5">
        <v>2082500</v>
      </c>
      <c r="E92" s="5">
        <v>127000</v>
      </c>
      <c r="F92" s="6">
        <f t="shared" si="2"/>
        <v>2209500</v>
      </c>
      <c r="G92" s="5">
        <v>2082500</v>
      </c>
      <c r="H92" s="5">
        <v>127000</v>
      </c>
      <c r="I92" s="6">
        <f t="shared" si="3"/>
        <v>2209500</v>
      </c>
    </row>
    <row r="93" spans="1:9" ht="15">
      <c r="A93" s="17">
        <v>17</v>
      </c>
      <c r="B93" s="15">
        <v>7</v>
      </c>
      <c r="C93" s="13" t="s">
        <v>26</v>
      </c>
      <c r="D93" s="5">
        <v>4211470</v>
      </c>
      <c r="E93" s="5">
        <v>184650</v>
      </c>
      <c r="F93" s="6">
        <f t="shared" si="2"/>
        <v>4396120</v>
      </c>
      <c r="G93" s="5">
        <v>4211500</v>
      </c>
      <c r="H93" s="5">
        <v>184650</v>
      </c>
      <c r="I93" s="6">
        <f t="shared" si="3"/>
        <v>4396150</v>
      </c>
    </row>
    <row r="94" spans="1:9" ht="15">
      <c r="A94" s="17">
        <v>18</v>
      </c>
      <c r="B94" s="15">
        <v>8</v>
      </c>
      <c r="C94" s="13" t="s">
        <v>27</v>
      </c>
      <c r="D94" s="5">
        <v>1074224</v>
      </c>
      <c r="E94" s="5">
        <v>797450</v>
      </c>
      <c r="F94" s="6">
        <f t="shared" si="2"/>
        <v>1871674</v>
      </c>
      <c r="G94" s="5">
        <f>1070652+1378700</f>
        <v>2449352</v>
      </c>
      <c r="H94" s="5">
        <v>755450</v>
      </c>
      <c r="I94" s="6">
        <f t="shared" si="3"/>
        <v>3204802</v>
      </c>
    </row>
    <row r="95" spans="1:9" ht="15">
      <c r="A95" s="17">
        <v>19</v>
      </c>
      <c r="B95" s="15">
        <v>9</v>
      </c>
      <c r="C95" s="13" t="s">
        <v>28</v>
      </c>
      <c r="D95" s="5">
        <f>858000*2</f>
        <v>1716000</v>
      </c>
      <c r="E95" s="5">
        <f>152000*2</f>
        <v>304000</v>
      </c>
      <c r="F95" s="6">
        <f t="shared" si="2"/>
        <v>2020000</v>
      </c>
      <c r="G95" s="5">
        <v>860000</v>
      </c>
      <c r="H95" s="5">
        <v>152000</v>
      </c>
      <c r="I95" s="6">
        <f t="shared" si="3"/>
        <v>1012000</v>
      </c>
    </row>
    <row r="96" spans="1:9" ht="15">
      <c r="A96" s="17">
        <v>20</v>
      </c>
      <c r="B96" s="15">
        <v>10</v>
      </c>
      <c r="C96" s="13" t="s">
        <v>29</v>
      </c>
      <c r="D96" s="5">
        <v>3005477</v>
      </c>
      <c r="E96" s="5">
        <v>58000</v>
      </c>
      <c r="F96" s="6">
        <f t="shared" si="2"/>
        <v>3063477</v>
      </c>
      <c r="G96" s="5">
        <v>3010732</v>
      </c>
      <c r="H96" s="5">
        <v>58000</v>
      </c>
      <c r="I96" s="6">
        <f t="shared" si="3"/>
        <v>3068732</v>
      </c>
    </row>
    <row r="97" spans="1:9" ht="15">
      <c r="A97" s="17">
        <v>21</v>
      </c>
      <c r="B97" s="15">
        <v>11</v>
      </c>
      <c r="C97" s="13" t="s">
        <v>203</v>
      </c>
      <c r="D97" s="5">
        <v>2815267</v>
      </c>
      <c r="E97" s="5">
        <v>1340000</v>
      </c>
      <c r="F97" s="6">
        <f t="shared" si="2"/>
        <v>4155267</v>
      </c>
      <c r="G97" s="5">
        <v>2872389</v>
      </c>
      <c r="H97" s="5">
        <v>1340000</v>
      </c>
      <c r="I97" s="6">
        <f t="shared" si="3"/>
        <v>4212389</v>
      </c>
    </row>
    <row r="98" spans="1:9" ht="15">
      <c r="A98" s="17">
        <v>22</v>
      </c>
      <c r="B98" s="15">
        <v>12</v>
      </c>
      <c r="C98" s="13" t="s">
        <v>30</v>
      </c>
      <c r="D98" s="5">
        <v>1499800</v>
      </c>
      <c r="E98" s="5">
        <v>464192</v>
      </c>
      <c r="F98" s="6">
        <f t="shared" si="2"/>
        <v>1963992</v>
      </c>
      <c r="G98" s="5">
        <v>1324800</v>
      </c>
      <c r="H98" s="5">
        <v>464192</v>
      </c>
      <c r="I98" s="6">
        <f t="shared" si="3"/>
        <v>1788992</v>
      </c>
    </row>
    <row r="99" spans="1:9" ht="15">
      <c r="A99" s="17">
        <v>23</v>
      </c>
      <c r="B99" s="15">
        <v>13</v>
      </c>
      <c r="C99" s="13" t="s">
        <v>31</v>
      </c>
      <c r="D99" s="5">
        <v>1761600</v>
      </c>
      <c r="E99" s="18">
        <v>625000</v>
      </c>
      <c r="F99" s="6">
        <f t="shared" si="2"/>
        <v>2386600</v>
      </c>
      <c r="G99" s="5">
        <v>1677600</v>
      </c>
      <c r="H99" s="18">
        <v>540000</v>
      </c>
      <c r="I99" s="6">
        <f t="shared" si="3"/>
        <v>2217600</v>
      </c>
    </row>
    <row r="100" spans="1:9" ht="15">
      <c r="A100" s="17">
        <v>24</v>
      </c>
      <c r="B100" s="15">
        <v>14</v>
      </c>
      <c r="C100" s="13" t="s">
        <v>32</v>
      </c>
      <c r="D100" s="5">
        <v>364000</v>
      </c>
      <c r="E100" s="5">
        <v>528000</v>
      </c>
      <c r="F100" s="6">
        <f t="shared" si="2"/>
        <v>892000</v>
      </c>
      <c r="G100" s="5"/>
      <c r="H100" s="5"/>
      <c r="I100" s="6">
        <f t="shared" si="3"/>
        <v>0</v>
      </c>
    </row>
    <row r="101" spans="1:9" ht="15">
      <c r="A101" s="17">
        <v>25</v>
      </c>
      <c r="B101" s="15">
        <v>15</v>
      </c>
      <c r="C101" s="95" t="s">
        <v>229</v>
      </c>
      <c r="D101" s="5">
        <v>3779900</v>
      </c>
      <c r="E101" s="5"/>
      <c r="F101" s="6">
        <f>SUM(D101:E101)</f>
        <v>3779900</v>
      </c>
      <c r="G101" s="5">
        <v>3779900</v>
      </c>
      <c r="H101" s="5"/>
      <c r="I101" s="6">
        <f>SUM(G101:H101)</f>
        <v>3779900</v>
      </c>
    </row>
    <row r="102" spans="1:9" ht="15">
      <c r="A102" s="17">
        <v>26</v>
      </c>
      <c r="B102" s="15">
        <v>16</v>
      </c>
      <c r="C102" s="95" t="s">
        <v>230</v>
      </c>
      <c r="D102" s="5">
        <v>1507700</v>
      </c>
      <c r="E102" s="5">
        <v>1964500</v>
      </c>
      <c r="F102" s="6">
        <f>SUM(D102:E102)</f>
        <v>3472200</v>
      </c>
      <c r="G102" s="5">
        <v>1507700</v>
      </c>
      <c r="H102" s="5">
        <v>1964500</v>
      </c>
      <c r="I102" s="6">
        <f>SUM(G102:H102)</f>
        <v>3472200</v>
      </c>
    </row>
    <row r="103" spans="1:9" ht="15">
      <c r="A103" s="17">
        <v>27</v>
      </c>
      <c r="B103" s="15">
        <v>17</v>
      </c>
      <c r="C103" s="95" t="s">
        <v>252</v>
      </c>
      <c r="D103" s="5">
        <v>1467063</v>
      </c>
      <c r="E103" s="5">
        <v>44000</v>
      </c>
      <c r="F103" s="6">
        <f>SUM(D103:E103)</f>
        <v>1511063</v>
      </c>
      <c r="G103" s="5">
        <v>1467063</v>
      </c>
      <c r="H103" s="5">
        <v>44000</v>
      </c>
      <c r="I103" s="6">
        <f>SUM(G103:H103)</f>
        <v>1511063</v>
      </c>
    </row>
    <row r="104" spans="1:9" ht="15">
      <c r="A104" s="17">
        <v>28</v>
      </c>
      <c r="B104" s="15">
        <v>18</v>
      </c>
      <c r="C104" s="95" t="s">
        <v>233</v>
      </c>
      <c r="D104" s="5">
        <v>100000</v>
      </c>
      <c r="E104" s="5">
        <v>60000</v>
      </c>
      <c r="F104" s="6">
        <f>SUM(D104:E104)</f>
        <v>160000</v>
      </c>
      <c r="G104" s="5">
        <v>100000</v>
      </c>
      <c r="H104" s="5">
        <v>65000</v>
      </c>
      <c r="I104" s="6">
        <f>SUM(G104:H104)</f>
        <v>165000</v>
      </c>
    </row>
    <row r="105" spans="1:9" ht="15">
      <c r="A105" s="224" t="s">
        <v>5</v>
      </c>
      <c r="B105" s="225"/>
      <c r="C105" s="225"/>
      <c r="D105" s="7">
        <f>SUM(D87:D104)</f>
        <v>37882480</v>
      </c>
      <c r="E105" s="7">
        <f>SUM(E87:E104)</f>
        <v>15678399</v>
      </c>
      <c r="F105" s="7">
        <f>SUM(D105:E105)</f>
        <v>53560879</v>
      </c>
      <c r="G105" s="7">
        <f>SUM(G87:G104)</f>
        <v>37587887</v>
      </c>
      <c r="H105" s="7">
        <f>SUM(H87:H104)</f>
        <v>14516399</v>
      </c>
      <c r="I105" s="7">
        <f>SUM(G105:H105)</f>
        <v>52104286</v>
      </c>
    </row>
    <row r="106" spans="1:9" ht="15">
      <c r="A106" s="224" t="s">
        <v>33</v>
      </c>
      <c r="B106" s="225"/>
      <c r="C106" s="225"/>
      <c r="D106" s="225"/>
      <c r="E106" s="225"/>
      <c r="F106" s="225"/>
      <c r="G106" s="225"/>
      <c r="H106" s="225"/>
      <c r="I106" s="226"/>
    </row>
    <row r="107" spans="1:9" ht="15">
      <c r="A107" s="15">
        <v>29</v>
      </c>
      <c r="B107" s="15">
        <v>1</v>
      </c>
      <c r="C107" s="13" t="s">
        <v>424</v>
      </c>
      <c r="D107" s="5">
        <v>350000</v>
      </c>
      <c r="E107" s="5">
        <v>305000</v>
      </c>
      <c r="F107" s="6">
        <f>SUM(D107:E107)</f>
        <v>655000</v>
      </c>
      <c r="G107" s="5">
        <v>350000</v>
      </c>
      <c r="H107" s="5">
        <v>305000</v>
      </c>
      <c r="I107" s="6">
        <f>SUM(G107:H107)</f>
        <v>655000</v>
      </c>
    </row>
    <row r="108" spans="1:9" ht="15">
      <c r="A108" s="15">
        <v>30</v>
      </c>
      <c r="B108" s="15">
        <v>2</v>
      </c>
      <c r="C108" s="19" t="s">
        <v>34</v>
      </c>
      <c r="D108" s="5"/>
      <c r="E108" s="5"/>
      <c r="F108" s="6">
        <f aca="true" t="shared" si="4" ref="F108:F115">SUM(D108:E108)</f>
        <v>0</v>
      </c>
      <c r="G108" s="5"/>
      <c r="H108" s="5"/>
      <c r="I108" s="6">
        <f aca="true" t="shared" si="5" ref="I108:I115">SUM(G108:H108)</f>
        <v>0</v>
      </c>
    </row>
    <row r="109" spans="1:9" ht="15">
      <c r="A109" s="15">
        <v>31</v>
      </c>
      <c r="B109" s="15">
        <v>3</v>
      </c>
      <c r="C109" s="19" t="s">
        <v>35</v>
      </c>
      <c r="D109" s="5"/>
      <c r="E109" s="5"/>
      <c r="F109" s="6">
        <f t="shared" si="4"/>
        <v>0</v>
      </c>
      <c r="G109" s="5"/>
      <c r="H109" s="5"/>
      <c r="I109" s="6">
        <f t="shared" si="5"/>
        <v>0</v>
      </c>
    </row>
    <row r="110" spans="1:9" ht="15">
      <c r="A110" s="15">
        <v>32</v>
      </c>
      <c r="B110" s="15">
        <v>4</v>
      </c>
      <c r="C110" s="19" t="s">
        <v>36</v>
      </c>
      <c r="D110" s="5">
        <v>256000</v>
      </c>
      <c r="E110" s="5">
        <v>185000</v>
      </c>
      <c r="F110" s="6">
        <f t="shared" si="4"/>
        <v>441000</v>
      </c>
      <c r="G110" s="5">
        <v>185000</v>
      </c>
      <c r="H110" s="5">
        <v>257000</v>
      </c>
      <c r="I110" s="6">
        <f t="shared" si="5"/>
        <v>442000</v>
      </c>
    </row>
    <row r="111" spans="1:9" ht="15">
      <c r="A111" s="15">
        <v>33</v>
      </c>
      <c r="B111" s="15">
        <v>5</v>
      </c>
      <c r="C111" s="19" t="s">
        <v>37</v>
      </c>
      <c r="D111" s="5">
        <v>148000</v>
      </c>
      <c r="E111" s="5">
        <v>260000</v>
      </c>
      <c r="F111" s="6">
        <f t="shared" si="4"/>
        <v>408000</v>
      </c>
      <c r="G111" s="5">
        <v>148000</v>
      </c>
      <c r="H111" s="5">
        <v>260000</v>
      </c>
      <c r="I111" s="6">
        <f t="shared" si="5"/>
        <v>408000</v>
      </c>
    </row>
    <row r="112" spans="1:9" ht="15">
      <c r="A112" s="15">
        <v>34</v>
      </c>
      <c r="B112" s="15">
        <v>6</v>
      </c>
      <c r="C112" s="19" t="s">
        <v>38</v>
      </c>
      <c r="D112" s="5">
        <v>441000</v>
      </c>
      <c r="E112" s="5">
        <v>42000</v>
      </c>
      <c r="F112" s="6">
        <f t="shared" si="4"/>
        <v>483000</v>
      </c>
      <c r="G112" s="5">
        <v>441000</v>
      </c>
      <c r="H112" s="5">
        <v>42000</v>
      </c>
      <c r="I112" s="6">
        <f t="shared" si="5"/>
        <v>483000</v>
      </c>
    </row>
    <row r="113" spans="1:9" ht="15">
      <c r="A113" s="15">
        <v>35</v>
      </c>
      <c r="B113" s="15">
        <v>7</v>
      </c>
      <c r="C113" s="19" t="s">
        <v>39</v>
      </c>
      <c r="D113" s="5">
        <v>640600</v>
      </c>
      <c r="E113" s="5">
        <v>313500</v>
      </c>
      <c r="F113" s="6">
        <f t="shared" si="4"/>
        <v>954100</v>
      </c>
      <c r="G113" s="5">
        <v>640600</v>
      </c>
      <c r="H113" s="5">
        <v>313500</v>
      </c>
      <c r="I113" s="6">
        <f t="shared" si="5"/>
        <v>954100</v>
      </c>
    </row>
    <row r="114" spans="1:9" ht="15">
      <c r="A114" s="15">
        <v>36</v>
      </c>
      <c r="B114" s="15">
        <v>8</v>
      </c>
      <c r="C114" s="19" t="s">
        <v>40</v>
      </c>
      <c r="D114" s="5">
        <v>463200</v>
      </c>
      <c r="E114" s="5">
        <v>90000</v>
      </c>
      <c r="F114" s="6">
        <f t="shared" si="4"/>
        <v>553200</v>
      </c>
      <c r="G114" s="5">
        <v>467300</v>
      </c>
      <c r="H114" s="5">
        <v>145000</v>
      </c>
      <c r="I114" s="6">
        <f t="shared" si="5"/>
        <v>612300</v>
      </c>
    </row>
    <row r="115" spans="1:9" ht="15">
      <c r="A115" s="15">
        <v>37</v>
      </c>
      <c r="B115" s="15">
        <v>9</v>
      </c>
      <c r="C115" s="20" t="s">
        <v>41</v>
      </c>
      <c r="D115" s="5">
        <v>887350</v>
      </c>
      <c r="E115" s="5">
        <v>303000</v>
      </c>
      <c r="F115" s="6">
        <f t="shared" si="4"/>
        <v>1190350</v>
      </c>
      <c r="G115" s="5">
        <v>887350</v>
      </c>
      <c r="H115" s="5">
        <v>303000</v>
      </c>
      <c r="I115" s="6">
        <f t="shared" si="5"/>
        <v>1190350</v>
      </c>
    </row>
    <row r="116" spans="1:9" ht="15">
      <c r="A116" s="224" t="s">
        <v>42</v>
      </c>
      <c r="B116" s="225"/>
      <c r="C116" s="233"/>
      <c r="D116" s="7">
        <f>SUM(D107:D115)</f>
        <v>3186150</v>
      </c>
      <c r="E116" s="7">
        <f>SUM(E107:E115)</f>
        <v>1498500</v>
      </c>
      <c r="F116" s="7">
        <f>SUM(D116:E116)</f>
        <v>4684650</v>
      </c>
      <c r="G116" s="7">
        <f>SUM(G107:G115)</f>
        <v>3119250</v>
      </c>
      <c r="H116" s="7">
        <f>SUM(H107:H115)</f>
        <v>1625500</v>
      </c>
      <c r="I116" s="7">
        <f>SUM(G116:H116)</f>
        <v>4744750</v>
      </c>
    </row>
    <row r="117" spans="1:9" ht="15">
      <c r="A117" s="224" t="s">
        <v>43</v>
      </c>
      <c r="B117" s="225"/>
      <c r="C117" s="225"/>
      <c r="D117" s="225"/>
      <c r="E117" s="225"/>
      <c r="F117" s="225"/>
      <c r="G117" s="225"/>
      <c r="H117" s="225"/>
      <c r="I117" s="226"/>
    </row>
    <row r="118" spans="1:9" ht="15">
      <c r="A118" s="15">
        <v>38</v>
      </c>
      <c r="B118" s="15">
        <v>1</v>
      </c>
      <c r="C118" s="13" t="s">
        <v>44</v>
      </c>
      <c r="D118" s="5"/>
      <c r="E118" s="5"/>
      <c r="F118" s="6">
        <f>SUM(D118:E118)</f>
        <v>0</v>
      </c>
      <c r="G118" s="5"/>
      <c r="H118" s="5"/>
      <c r="I118" s="6">
        <f>SUM(G118:H118)</f>
        <v>0</v>
      </c>
    </row>
    <row r="119" spans="1:9" ht="15">
      <c r="A119" s="15">
        <v>39</v>
      </c>
      <c r="B119" s="15">
        <v>2</v>
      </c>
      <c r="C119" s="13" t="s">
        <v>45</v>
      </c>
      <c r="D119" s="5">
        <v>1378000</v>
      </c>
      <c r="E119" s="5"/>
      <c r="F119" s="6">
        <f>SUM(D119:E119)</f>
        <v>1378000</v>
      </c>
      <c r="G119" s="5"/>
      <c r="H119" s="5"/>
      <c r="I119" s="6">
        <f>SUM(G119:H119)</f>
        <v>0</v>
      </c>
    </row>
    <row r="120" spans="1:9" ht="15">
      <c r="A120" s="15">
        <v>40</v>
      </c>
      <c r="B120" s="15">
        <v>3</v>
      </c>
      <c r="C120" s="13" t="s">
        <v>46</v>
      </c>
      <c r="D120" s="5">
        <v>382700</v>
      </c>
      <c r="E120" s="5">
        <v>100000</v>
      </c>
      <c r="F120" s="6">
        <f>SUM(D120:E120)</f>
        <v>482700</v>
      </c>
      <c r="G120" s="5">
        <v>382700</v>
      </c>
      <c r="H120" s="5">
        <v>100000</v>
      </c>
      <c r="I120" s="6">
        <f>SUM(G120:H120)</f>
        <v>482700</v>
      </c>
    </row>
    <row r="121" spans="1:9" ht="15">
      <c r="A121" s="224" t="s">
        <v>5</v>
      </c>
      <c r="B121" s="225"/>
      <c r="C121" s="225"/>
      <c r="D121" s="7">
        <f>SUM(D118:D120)</f>
        <v>1760700</v>
      </c>
      <c r="E121" s="7">
        <f>SUM(E118:E120)</f>
        <v>100000</v>
      </c>
      <c r="F121" s="7">
        <f>SUM(D121:E121)</f>
        <v>1860700</v>
      </c>
      <c r="G121" s="7">
        <f>SUM(G118:G120)</f>
        <v>382700</v>
      </c>
      <c r="H121" s="7">
        <f>SUM(H118:H120)</f>
        <v>100000</v>
      </c>
      <c r="I121" s="7">
        <f>SUM(G121:H121)</f>
        <v>482700</v>
      </c>
    </row>
    <row r="122" spans="1:9" ht="15">
      <c r="A122" s="224" t="s">
        <v>47</v>
      </c>
      <c r="B122" s="225"/>
      <c r="C122" s="225"/>
      <c r="D122" s="225"/>
      <c r="E122" s="225"/>
      <c r="F122" s="225"/>
      <c r="G122" s="225"/>
      <c r="H122" s="225"/>
      <c r="I122" s="226"/>
    </row>
    <row r="123" spans="1:9" ht="15">
      <c r="A123" s="15">
        <v>41</v>
      </c>
      <c r="B123" s="15">
        <v>1</v>
      </c>
      <c r="C123" s="15" t="s">
        <v>48</v>
      </c>
      <c r="D123" s="5">
        <v>500000</v>
      </c>
      <c r="E123" s="5">
        <v>80000</v>
      </c>
      <c r="F123" s="6">
        <f>SUM(D123:E123)</f>
        <v>580000</v>
      </c>
      <c r="G123" s="5">
        <v>500000</v>
      </c>
      <c r="H123" s="5">
        <v>80000</v>
      </c>
      <c r="I123" s="6">
        <f>SUM(G123:H123)</f>
        <v>580000</v>
      </c>
    </row>
    <row r="124" spans="1:9" ht="15">
      <c r="A124" s="224" t="s">
        <v>42</v>
      </c>
      <c r="B124" s="225"/>
      <c r="C124" s="225"/>
      <c r="D124" s="7">
        <f>D123</f>
        <v>500000</v>
      </c>
      <c r="E124" s="7">
        <f>E123</f>
        <v>80000</v>
      </c>
      <c r="F124" s="7">
        <f>SUM(D124:E124)</f>
        <v>580000</v>
      </c>
      <c r="G124" s="7">
        <f>G123</f>
        <v>500000</v>
      </c>
      <c r="H124" s="7">
        <f>H123</f>
        <v>80000</v>
      </c>
      <c r="I124" s="7">
        <f>SUM(G124:H124)</f>
        <v>580000</v>
      </c>
    </row>
    <row r="125" spans="1:9" ht="15">
      <c r="A125" s="224" t="s">
        <v>49</v>
      </c>
      <c r="B125" s="225"/>
      <c r="C125" s="225"/>
      <c r="D125" s="225"/>
      <c r="E125" s="225"/>
      <c r="F125" s="225"/>
      <c r="G125" s="225"/>
      <c r="H125" s="225"/>
      <c r="I125" s="226"/>
    </row>
    <row r="126" spans="1:9" ht="15">
      <c r="A126" s="15">
        <v>42</v>
      </c>
      <c r="B126" s="15">
        <v>1</v>
      </c>
      <c r="C126" s="19" t="s">
        <v>50</v>
      </c>
      <c r="D126" s="5">
        <v>1730000</v>
      </c>
      <c r="E126" s="5">
        <v>529800</v>
      </c>
      <c r="F126" s="6">
        <f>SUM(D126:E126)</f>
        <v>2259800</v>
      </c>
      <c r="G126" s="5">
        <v>1737019</v>
      </c>
      <c r="H126" s="5">
        <v>529800</v>
      </c>
      <c r="I126" s="6">
        <f>SUM(G126:H126)</f>
        <v>2266819</v>
      </c>
    </row>
    <row r="127" spans="1:9" ht="15">
      <c r="A127" s="224" t="s">
        <v>42</v>
      </c>
      <c r="B127" s="225"/>
      <c r="C127" s="225"/>
      <c r="D127" s="7">
        <f>D126</f>
        <v>1730000</v>
      </c>
      <c r="E127" s="7">
        <f>E126</f>
        <v>529800</v>
      </c>
      <c r="F127" s="7">
        <f>SUM(D127:E127)</f>
        <v>2259800</v>
      </c>
      <c r="G127" s="7">
        <f>G126</f>
        <v>1737019</v>
      </c>
      <c r="H127" s="7">
        <f>H126</f>
        <v>529800</v>
      </c>
      <c r="I127" s="7">
        <f>SUM(G127:H127)</f>
        <v>2266819</v>
      </c>
    </row>
    <row r="128" spans="1:9" ht="15">
      <c r="A128" s="224" t="s">
        <v>51</v>
      </c>
      <c r="B128" s="225"/>
      <c r="C128" s="225"/>
      <c r="D128" s="225"/>
      <c r="E128" s="225"/>
      <c r="F128" s="225"/>
      <c r="G128" s="225"/>
      <c r="H128" s="225"/>
      <c r="I128" s="226"/>
    </row>
    <row r="129" spans="1:9" ht="15">
      <c r="A129" s="15">
        <v>43</v>
      </c>
      <c r="B129" s="15">
        <v>1</v>
      </c>
      <c r="C129" s="19" t="s">
        <v>52</v>
      </c>
      <c r="D129" s="5">
        <v>1474500</v>
      </c>
      <c r="E129" s="5">
        <v>649500</v>
      </c>
      <c r="F129" s="6">
        <f>SUM(D129:E129)</f>
        <v>2124000</v>
      </c>
      <c r="G129" s="5">
        <v>1482800</v>
      </c>
      <c r="H129" s="5">
        <v>649500</v>
      </c>
      <c r="I129" s="6">
        <f>SUM(G129:H129)</f>
        <v>2132300</v>
      </c>
    </row>
    <row r="130" spans="1:9" ht="15">
      <c r="A130" s="15">
        <v>44</v>
      </c>
      <c r="B130" s="15">
        <v>2</v>
      </c>
      <c r="C130" s="19" t="s">
        <v>53</v>
      </c>
      <c r="D130" s="5">
        <v>1643000</v>
      </c>
      <c r="E130" s="5"/>
      <c r="F130" s="6">
        <f aca="true" t="shared" si="6" ref="F130:F148">SUM(D130:E130)</f>
        <v>1643000</v>
      </c>
      <c r="G130" s="5"/>
      <c r="H130" s="5">
        <v>410000</v>
      </c>
      <c r="I130" s="6">
        <f aca="true" t="shared" si="7" ref="I130:I138">SUM(G130:H130)</f>
        <v>410000</v>
      </c>
    </row>
    <row r="131" spans="1:9" ht="15">
      <c r="A131" s="15">
        <v>45</v>
      </c>
      <c r="B131" s="15">
        <v>3</v>
      </c>
      <c r="C131" s="20" t="s">
        <v>54</v>
      </c>
      <c r="D131" s="5"/>
      <c r="E131" s="5"/>
      <c r="F131" s="6">
        <f t="shared" si="6"/>
        <v>0</v>
      </c>
      <c r="G131" s="5">
        <v>1643000</v>
      </c>
      <c r="H131" s="5"/>
      <c r="I131" s="6">
        <f t="shared" si="7"/>
        <v>1643000</v>
      </c>
    </row>
    <row r="132" spans="1:9" ht="15">
      <c r="A132" s="15">
        <v>46</v>
      </c>
      <c r="B132" s="21">
        <v>4</v>
      </c>
      <c r="C132" s="20" t="s">
        <v>55</v>
      </c>
      <c r="D132" s="5"/>
      <c r="E132" s="5">
        <f>224000+224000</f>
        <v>448000</v>
      </c>
      <c r="F132" s="6">
        <f t="shared" si="6"/>
        <v>448000</v>
      </c>
      <c r="G132" s="5"/>
      <c r="H132" s="5"/>
      <c r="I132" s="6">
        <f t="shared" si="7"/>
        <v>0</v>
      </c>
    </row>
    <row r="133" spans="1:9" ht="15">
      <c r="A133" s="15">
        <v>47</v>
      </c>
      <c r="B133" s="15">
        <v>5</v>
      </c>
      <c r="C133" s="20" t="s">
        <v>56</v>
      </c>
      <c r="D133" s="5">
        <v>505700</v>
      </c>
      <c r="E133" s="5">
        <v>136000</v>
      </c>
      <c r="F133" s="6">
        <f t="shared" si="6"/>
        <v>641700</v>
      </c>
      <c r="G133" s="5">
        <v>505700</v>
      </c>
      <c r="H133" s="5">
        <v>136000</v>
      </c>
      <c r="I133" s="6">
        <f t="shared" si="7"/>
        <v>641700</v>
      </c>
    </row>
    <row r="134" spans="1:9" ht="15">
      <c r="A134" s="15">
        <v>48</v>
      </c>
      <c r="B134" s="15">
        <v>6</v>
      </c>
      <c r="C134" s="20" t="s">
        <v>57</v>
      </c>
      <c r="D134" s="5">
        <v>1191300</v>
      </c>
      <c r="E134" s="5">
        <v>280000</v>
      </c>
      <c r="F134" s="6">
        <f t="shared" si="6"/>
        <v>1471300</v>
      </c>
      <c r="G134" s="5"/>
      <c r="H134" s="5"/>
      <c r="I134" s="6">
        <f t="shared" si="7"/>
        <v>0</v>
      </c>
    </row>
    <row r="135" spans="1:9" ht="15">
      <c r="A135" s="15">
        <v>49</v>
      </c>
      <c r="B135" s="15">
        <v>7</v>
      </c>
      <c r="C135" s="20" t="s">
        <v>58</v>
      </c>
      <c r="D135" s="5">
        <v>727000</v>
      </c>
      <c r="E135" s="5">
        <f>450000+150000</f>
        <v>600000</v>
      </c>
      <c r="F135" s="6">
        <f t="shared" si="6"/>
        <v>1327000</v>
      </c>
      <c r="G135" s="5">
        <v>727000</v>
      </c>
      <c r="H135" s="5">
        <v>150000</v>
      </c>
      <c r="I135" s="6">
        <f t="shared" si="7"/>
        <v>877000</v>
      </c>
    </row>
    <row r="136" spans="1:9" ht="15">
      <c r="A136" s="15">
        <v>50</v>
      </c>
      <c r="B136" s="15">
        <v>8</v>
      </c>
      <c r="C136" s="19" t="s">
        <v>59</v>
      </c>
      <c r="D136" s="5">
        <v>615000</v>
      </c>
      <c r="E136" s="5">
        <v>100000</v>
      </c>
      <c r="F136" s="6">
        <f t="shared" si="6"/>
        <v>715000</v>
      </c>
      <c r="G136" s="5">
        <v>615000</v>
      </c>
      <c r="H136" s="5">
        <v>100000</v>
      </c>
      <c r="I136" s="6">
        <f t="shared" si="7"/>
        <v>715000</v>
      </c>
    </row>
    <row r="137" spans="1:9" ht="15">
      <c r="A137" s="15">
        <v>51</v>
      </c>
      <c r="B137" s="15">
        <v>9</v>
      </c>
      <c r="C137" s="19" t="s">
        <v>60</v>
      </c>
      <c r="D137" s="5">
        <v>554000</v>
      </c>
      <c r="E137" s="5">
        <v>220000</v>
      </c>
      <c r="F137" s="6">
        <f t="shared" si="6"/>
        <v>774000</v>
      </c>
      <c r="G137" s="5">
        <v>554000</v>
      </c>
      <c r="H137" s="5">
        <v>200000</v>
      </c>
      <c r="I137" s="6">
        <f t="shared" si="7"/>
        <v>754000</v>
      </c>
    </row>
    <row r="138" spans="1:9" ht="15">
      <c r="A138" s="15">
        <v>52</v>
      </c>
      <c r="B138" s="15">
        <v>10</v>
      </c>
      <c r="C138" s="19" t="s">
        <v>61</v>
      </c>
      <c r="D138" s="5"/>
      <c r="E138" s="5">
        <v>578335</v>
      </c>
      <c r="F138" s="6">
        <f t="shared" si="6"/>
        <v>578335</v>
      </c>
      <c r="G138" s="5"/>
      <c r="H138" s="5">
        <v>578335</v>
      </c>
      <c r="I138" s="6">
        <f t="shared" si="7"/>
        <v>578335</v>
      </c>
    </row>
    <row r="139" spans="1:9" ht="15">
      <c r="A139" s="15">
        <v>53</v>
      </c>
      <c r="B139" s="15">
        <v>11</v>
      </c>
      <c r="C139" s="19" t="s">
        <v>62</v>
      </c>
      <c r="D139" s="5">
        <v>1340000</v>
      </c>
      <c r="F139" s="6">
        <f>SUM(D139:E139)</f>
        <v>1340000</v>
      </c>
      <c r="G139" s="5"/>
      <c r="I139" s="6">
        <f>SUM(G139:H139)</f>
        <v>0</v>
      </c>
    </row>
    <row r="140" spans="1:9" ht="15">
      <c r="A140" s="15">
        <v>54</v>
      </c>
      <c r="B140" s="15">
        <v>12</v>
      </c>
      <c r="C140" s="19" t="s">
        <v>63</v>
      </c>
      <c r="D140" s="5">
        <v>1584300</v>
      </c>
      <c r="E140" s="5"/>
      <c r="F140" s="6">
        <f t="shared" si="6"/>
        <v>1584300</v>
      </c>
      <c r="G140" s="5">
        <v>1647600</v>
      </c>
      <c r="H140" s="5"/>
      <c r="I140" s="6">
        <f>SUM(G140:H140)</f>
        <v>1647600</v>
      </c>
    </row>
    <row r="141" spans="1:9" ht="15">
      <c r="A141" s="15">
        <v>55</v>
      </c>
      <c r="B141" s="15">
        <v>13</v>
      </c>
      <c r="C141" s="19" t="s">
        <v>64</v>
      </c>
      <c r="D141" s="5"/>
      <c r="E141" s="5"/>
      <c r="F141" s="6">
        <f t="shared" si="6"/>
        <v>0</v>
      </c>
      <c r="G141" s="5">
        <v>1345000</v>
      </c>
      <c r="H141" s="5">
        <v>200000</v>
      </c>
      <c r="I141" s="6">
        <f>SUM(G141:H141)</f>
        <v>1545000</v>
      </c>
    </row>
    <row r="142" spans="1:9" ht="15">
      <c r="A142" s="15">
        <v>56</v>
      </c>
      <c r="B142" s="15">
        <v>14</v>
      </c>
      <c r="C142" s="19" t="s">
        <v>65</v>
      </c>
      <c r="D142" s="5">
        <v>229000</v>
      </c>
      <c r="E142" s="5">
        <v>140000</v>
      </c>
      <c r="F142" s="6">
        <f>SUM(D142:E142)</f>
        <v>369000</v>
      </c>
      <c r="G142" s="5">
        <v>229000</v>
      </c>
      <c r="H142" s="5">
        <v>140000</v>
      </c>
      <c r="I142" s="6">
        <f>SUM(G142:H142)</f>
        <v>369000</v>
      </c>
    </row>
    <row r="143" spans="1:9" ht="15">
      <c r="A143" s="15">
        <v>57</v>
      </c>
      <c r="B143" s="15">
        <v>15</v>
      </c>
      <c r="C143" s="78" t="s">
        <v>66</v>
      </c>
      <c r="D143" s="5">
        <v>1345000</v>
      </c>
      <c r="E143" s="5">
        <v>280000</v>
      </c>
      <c r="F143" s="6">
        <f t="shared" si="6"/>
        <v>1625000</v>
      </c>
      <c r="G143" s="5">
        <v>1250000</v>
      </c>
      <c r="H143" s="5">
        <v>250000</v>
      </c>
      <c r="I143" s="6">
        <f aca="true" t="shared" si="8" ref="I143:I148">SUM(G143:H143)</f>
        <v>1500000</v>
      </c>
    </row>
    <row r="144" spans="1:9" ht="15">
      <c r="A144" s="15">
        <v>58</v>
      </c>
      <c r="B144" s="15">
        <v>16</v>
      </c>
      <c r="C144" s="19" t="s">
        <v>67</v>
      </c>
      <c r="D144" s="5">
        <v>1116000</v>
      </c>
      <c r="E144" s="5"/>
      <c r="F144" s="6">
        <f t="shared" si="6"/>
        <v>1116000</v>
      </c>
      <c r="G144" s="5"/>
      <c r="H144" s="5"/>
      <c r="I144" s="6">
        <f t="shared" si="8"/>
        <v>0</v>
      </c>
    </row>
    <row r="145" spans="1:9" ht="15">
      <c r="A145" s="15">
        <v>59</v>
      </c>
      <c r="B145" s="15">
        <v>17</v>
      </c>
      <c r="C145" s="19" t="s">
        <v>68</v>
      </c>
      <c r="D145" s="5"/>
      <c r="E145" s="5"/>
      <c r="F145" s="6">
        <f t="shared" si="6"/>
        <v>0</v>
      </c>
      <c r="G145" s="5">
        <v>1424960</v>
      </c>
      <c r="H145" s="5"/>
      <c r="I145" s="6">
        <f t="shared" si="8"/>
        <v>1424960</v>
      </c>
    </row>
    <row r="146" spans="1:9" ht="15">
      <c r="A146" s="15">
        <v>60</v>
      </c>
      <c r="B146" s="15">
        <v>18</v>
      </c>
      <c r="C146" s="19" t="s">
        <v>69</v>
      </c>
      <c r="D146" s="5">
        <v>1149000</v>
      </c>
      <c r="E146" s="5">
        <v>120000</v>
      </c>
      <c r="F146" s="6">
        <f t="shared" si="6"/>
        <v>1269000</v>
      </c>
      <c r="G146" s="5">
        <v>1027000</v>
      </c>
      <c r="H146" s="5">
        <v>120000</v>
      </c>
      <c r="I146" s="6">
        <f t="shared" si="8"/>
        <v>1147000</v>
      </c>
    </row>
    <row r="147" spans="1:9" ht="15">
      <c r="A147" s="15">
        <v>61</v>
      </c>
      <c r="B147" s="15">
        <v>19</v>
      </c>
      <c r="C147" s="19" t="s">
        <v>70</v>
      </c>
      <c r="D147" s="5"/>
      <c r="E147" s="5"/>
      <c r="F147" s="6">
        <f t="shared" si="6"/>
        <v>0</v>
      </c>
      <c r="G147" s="5"/>
      <c r="H147" s="5"/>
      <c r="I147" s="6">
        <f t="shared" si="8"/>
        <v>0</v>
      </c>
    </row>
    <row r="148" spans="1:9" ht="15">
      <c r="A148" s="15">
        <v>62</v>
      </c>
      <c r="B148" s="15">
        <v>20</v>
      </c>
      <c r="C148" s="19" t="s">
        <v>71</v>
      </c>
      <c r="D148" s="5"/>
      <c r="E148" s="5"/>
      <c r="F148" s="6">
        <f t="shared" si="6"/>
        <v>0</v>
      </c>
      <c r="G148" s="5"/>
      <c r="H148" s="5"/>
      <c r="I148" s="6">
        <f t="shared" si="8"/>
        <v>0</v>
      </c>
    </row>
    <row r="149" spans="1:9" ht="15">
      <c r="A149" s="224" t="s">
        <v>5</v>
      </c>
      <c r="B149" s="225"/>
      <c r="C149" s="225"/>
      <c r="D149" s="7">
        <f>SUM(D129:D148)</f>
        <v>13473800</v>
      </c>
      <c r="E149" s="7">
        <f>SUM(E129:E148)</f>
        <v>3551835</v>
      </c>
      <c r="F149" s="7">
        <f>SUM(D149:E149)</f>
        <v>17025635</v>
      </c>
      <c r="G149" s="7">
        <f>SUM(G129:G148)</f>
        <v>12451060</v>
      </c>
      <c r="H149" s="7">
        <f>SUM(H129:H148)</f>
        <v>2933835</v>
      </c>
      <c r="I149" s="7">
        <f>SUM(G149:H149)</f>
        <v>15384895</v>
      </c>
    </row>
    <row r="150" spans="1:9" ht="15">
      <c r="A150" s="234" t="s">
        <v>72</v>
      </c>
      <c r="B150" s="235"/>
      <c r="C150" s="235"/>
      <c r="D150" s="235"/>
      <c r="E150" s="235"/>
      <c r="F150" s="235"/>
      <c r="G150" s="235"/>
      <c r="H150" s="235"/>
      <c r="I150" s="236"/>
    </row>
    <row r="151" spans="1:9" ht="15">
      <c r="A151" s="15">
        <v>63</v>
      </c>
      <c r="B151" s="15">
        <v>1</v>
      </c>
      <c r="C151" s="20" t="s">
        <v>73</v>
      </c>
      <c r="D151" s="5">
        <v>1501595</v>
      </c>
      <c r="E151" s="5">
        <v>885800</v>
      </c>
      <c r="F151" s="6">
        <f>SUM(D151:E151)</f>
        <v>2387395</v>
      </c>
      <c r="G151" s="5">
        <v>1501595</v>
      </c>
      <c r="H151" s="5">
        <v>882800</v>
      </c>
      <c r="I151" s="6">
        <f>SUM(G151:H151)</f>
        <v>2384395</v>
      </c>
    </row>
    <row r="152" spans="1:9" ht="15">
      <c r="A152" s="15">
        <v>64</v>
      </c>
      <c r="B152" s="15">
        <v>2</v>
      </c>
      <c r="C152" s="20" t="s">
        <v>74</v>
      </c>
      <c r="D152" s="5">
        <v>258500</v>
      </c>
      <c r="E152" s="5">
        <v>262000</v>
      </c>
      <c r="F152" s="6">
        <f>SUM(D152:E152)</f>
        <v>520500</v>
      </c>
      <c r="G152" s="5">
        <v>258500</v>
      </c>
      <c r="H152" s="5">
        <v>260000</v>
      </c>
      <c r="I152" s="6">
        <f>SUM(G152:H152)</f>
        <v>518500</v>
      </c>
    </row>
    <row r="153" spans="1:9" ht="15">
      <c r="A153" s="15">
        <v>65</v>
      </c>
      <c r="B153" s="15">
        <v>3</v>
      </c>
      <c r="C153" s="20" t="s">
        <v>75</v>
      </c>
      <c r="D153" s="5">
        <v>1353200</v>
      </c>
      <c r="E153" s="5">
        <v>1247500</v>
      </c>
      <c r="F153" s="6">
        <f aca="true" t="shared" si="9" ref="F153:F170">SUM(D153:E153)</f>
        <v>2600700</v>
      </c>
      <c r="G153" s="5">
        <v>1353200</v>
      </c>
      <c r="H153" s="5">
        <v>1247500</v>
      </c>
      <c r="I153" s="6">
        <f aca="true" t="shared" si="10" ref="I153:I170">SUM(G153:H153)</f>
        <v>2600700</v>
      </c>
    </row>
    <row r="154" spans="1:9" ht="15">
      <c r="A154" s="15">
        <v>66</v>
      </c>
      <c r="B154" s="15">
        <v>4</v>
      </c>
      <c r="C154" s="20" t="s">
        <v>76</v>
      </c>
      <c r="D154" s="5">
        <f>300000+300000</f>
        <v>600000</v>
      </c>
      <c r="E154" s="5"/>
      <c r="F154" s="6">
        <f t="shared" si="9"/>
        <v>600000</v>
      </c>
      <c r="G154" s="5">
        <v>300000</v>
      </c>
      <c r="H154" s="5"/>
      <c r="I154" s="6">
        <f t="shared" si="10"/>
        <v>300000</v>
      </c>
    </row>
    <row r="155" spans="1:9" ht="15">
      <c r="A155" s="15">
        <v>67</v>
      </c>
      <c r="B155" s="15">
        <v>5</v>
      </c>
      <c r="C155" s="22" t="s">
        <v>77</v>
      </c>
      <c r="D155" s="5"/>
      <c r="E155" s="5"/>
      <c r="F155" s="6">
        <f t="shared" si="9"/>
        <v>0</v>
      </c>
      <c r="G155" s="5">
        <v>1026000</v>
      </c>
      <c r="H155" s="5">
        <v>300000</v>
      </c>
      <c r="I155" s="6">
        <f t="shared" si="10"/>
        <v>1326000</v>
      </c>
    </row>
    <row r="156" spans="1:9" ht="15">
      <c r="A156" s="15">
        <v>68</v>
      </c>
      <c r="B156" s="15">
        <v>6</v>
      </c>
      <c r="C156" s="20" t="s">
        <v>78</v>
      </c>
      <c r="D156" s="5">
        <v>794000</v>
      </c>
      <c r="E156" s="5">
        <f>1419500+1419500</f>
        <v>2839000</v>
      </c>
      <c r="F156" s="6">
        <f t="shared" si="9"/>
        <v>3633000</v>
      </c>
      <c r="G156" s="5">
        <v>794000</v>
      </c>
      <c r="H156" s="5">
        <v>1419500</v>
      </c>
      <c r="I156" s="6">
        <f t="shared" si="10"/>
        <v>2213500</v>
      </c>
    </row>
    <row r="157" spans="1:9" ht="15">
      <c r="A157" s="15">
        <v>69</v>
      </c>
      <c r="B157" s="15">
        <v>7</v>
      </c>
      <c r="C157" s="20" t="s">
        <v>79</v>
      </c>
      <c r="D157" s="5">
        <v>337000</v>
      </c>
      <c r="E157" s="5"/>
      <c r="F157" s="6">
        <f t="shared" si="9"/>
        <v>337000</v>
      </c>
      <c r="G157" s="5">
        <v>337000</v>
      </c>
      <c r="H157" s="5">
        <v>450000</v>
      </c>
      <c r="I157" s="6">
        <f t="shared" si="10"/>
        <v>787000</v>
      </c>
    </row>
    <row r="158" spans="1:9" ht="15">
      <c r="A158" s="15">
        <v>70</v>
      </c>
      <c r="B158" s="15">
        <v>8</v>
      </c>
      <c r="C158" s="20" t="s">
        <v>80</v>
      </c>
      <c r="D158" s="5">
        <v>549700</v>
      </c>
      <c r="E158" s="5">
        <v>939000</v>
      </c>
      <c r="F158" s="6">
        <f t="shared" si="9"/>
        <v>1488700</v>
      </c>
      <c r="G158" s="5">
        <v>529700</v>
      </c>
      <c r="H158" s="5">
        <v>939000</v>
      </c>
      <c r="I158" s="6">
        <f t="shared" si="10"/>
        <v>1468700</v>
      </c>
    </row>
    <row r="159" spans="1:9" ht="15">
      <c r="A159" s="15">
        <v>71</v>
      </c>
      <c r="B159" s="15">
        <v>9</v>
      </c>
      <c r="C159" s="20" t="s">
        <v>81</v>
      </c>
      <c r="D159" s="5">
        <v>328000</v>
      </c>
      <c r="E159" s="5">
        <v>490000</v>
      </c>
      <c r="F159" s="6">
        <f t="shared" si="9"/>
        <v>818000</v>
      </c>
      <c r="G159" s="5">
        <v>320000</v>
      </c>
      <c r="H159" s="5">
        <v>480000</v>
      </c>
      <c r="I159" s="6">
        <f t="shared" si="10"/>
        <v>800000</v>
      </c>
    </row>
    <row r="160" spans="1:9" ht="15">
      <c r="A160" s="15">
        <v>72</v>
      </c>
      <c r="B160" s="15">
        <v>10</v>
      </c>
      <c r="C160" s="20" t="s">
        <v>82</v>
      </c>
      <c r="D160" s="5">
        <v>357000</v>
      </c>
      <c r="E160" s="5">
        <v>74100</v>
      </c>
      <c r="F160" s="6">
        <f t="shared" si="9"/>
        <v>431100</v>
      </c>
      <c r="G160" s="5">
        <v>357000</v>
      </c>
      <c r="H160" s="5">
        <v>74100</v>
      </c>
      <c r="I160" s="6">
        <f t="shared" si="10"/>
        <v>431100</v>
      </c>
    </row>
    <row r="161" spans="1:9" ht="15">
      <c r="A161" s="15">
        <v>73</v>
      </c>
      <c r="B161" s="15">
        <v>11</v>
      </c>
      <c r="C161" s="20" t="s">
        <v>83</v>
      </c>
      <c r="D161" s="5">
        <v>600000</v>
      </c>
      <c r="E161" s="5">
        <v>200000</v>
      </c>
      <c r="F161" s="6">
        <f t="shared" si="9"/>
        <v>800000</v>
      </c>
      <c r="G161" s="5">
        <v>600000</v>
      </c>
      <c r="H161" s="5">
        <v>200000</v>
      </c>
      <c r="I161" s="6">
        <f t="shared" si="10"/>
        <v>800000</v>
      </c>
    </row>
    <row r="162" spans="1:9" ht="15">
      <c r="A162" s="15">
        <v>74</v>
      </c>
      <c r="B162" s="15">
        <v>12</v>
      </c>
      <c r="C162" s="20" t="s">
        <v>84</v>
      </c>
      <c r="D162" s="5">
        <v>185000</v>
      </c>
      <c r="E162" s="5">
        <v>814000</v>
      </c>
      <c r="F162" s="6">
        <f t="shared" si="9"/>
        <v>999000</v>
      </c>
      <c r="G162" s="5">
        <v>185000</v>
      </c>
      <c r="H162" s="5">
        <v>809000</v>
      </c>
      <c r="I162" s="6">
        <f t="shared" si="10"/>
        <v>994000</v>
      </c>
    </row>
    <row r="163" spans="1:9" ht="15">
      <c r="A163" s="15">
        <v>75</v>
      </c>
      <c r="B163" s="15">
        <v>13</v>
      </c>
      <c r="C163" s="20" t="s">
        <v>85</v>
      </c>
      <c r="D163" s="18"/>
      <c r="E163" s="18">
        <v>500000</v>
      </c>
      <c r="F163" s="6">
        <f t="shared" si="9"/>
        <v>500000</v>
      </c>
      <c r="G163" s="18"/>
      <c r="H163" s="18">
        <v>500000</v>
      </c>
      <c r="I163" s="6">
        <f t="shared" si="10"/>
        <v>500000</v>
      </c>
    </row>
    <row r="164" spans="1:9" ht="15">
      <c r="A164" s="15">
        <v>76</v>
      </c>
      <c r="B164" s="15">
        <v>14</v>
      </c>
      <c r="C164" s="22" t="s">
        <v>86</v>
      </c>
      <c r="D164" s="5"/>
      <c r="E164" s="5">
        <f>1090000*3</f>
        <v>3270000</v>
      </c>
      <c r="F164" s="6">
        <f t="shared" si="9"/>
        <v>3270000</v>
      </c>
      <c r="G164" s="5"/>
      <c r="H164" s="5"/>
      <c r="I164" s="6">
        <f t="shared" si="10"/>
        <v>0</v>
      </c>
    </row>
    <row r="165" spans="1:9" ht="15">
      <c r="A165" s="15">
        <v>77</v>
      </c>
      <c r="B165" s="15">
        <v>15</v>
      </c>
      <c r="C165" s="20" t="s">
        <v>87</v>
      </c>
      <c r="D165" s="5"/>
      <c r="E165" s="5">
        <v>1036000</v>
      </c>
      <c r="F165" s="6">
        <f t="shared" si="9"/>
        <v>1036000</v>
      </c>
      <c r="G165" s="5"/>
      <c r="H165" s="5">
        <v>1036000</v>
      </c>
      <c r="I165" s="6">
        <f t="shared" si="10"/>
        <v>1036000</v>
      </c>
    </row>
    <row r="166" spans="1:9" ht="15">
      <c r="A166" s="15">
        <v>78</v>
      </c>
      <c r="B166" s="15">
        <v>16</v>
      </c>
      <c r="C166" s="20" t="s">
        <v>88</v>
      </c>
      <c r="D166" s="5"/>
      <c r="E166" s="5"/>
      <c r="F166" s="6">
        <f t="shared" si="9"/>
        <v>0</v>
      </c>
      <c r="G166" s="5">
        <v>1101000</v>
      </c>
      <c r="H166" s="5">
        <v>2259000</v>
      </c>
      <c r="I166" s="6">
        <f t="shared" si="10"/>
        <v>3360000</v>
      </c>
    </row>
    <row r="167" spans="1:9" ht="15">
      <c r="A167" s="15">
        <v>79</v>
      </c>
      <c r="B167" s="15">
        <v>17</v>
      </c>
      <c r="C167" s="20" t="s">
        <v>89</v>
      </c>
      <c r="D167" s="5"/>
      <c r="E167" s="5"/>
      <c r="F167" s="6">
        <f t="shared" si="9"/>
        <v>0</v>
      </c>
      <c r="G167" s="5"/>
      <c r="H167" s="5"/>
      <c r="I167" s="6">
        <f t="shared" si="10"/>
        <v>0</v>
      </c>
    </row>
    <row r="168" spans="1:9" ht="15">
      <c r="A168" s="15">
        <v>80</v>
      </c>
      <c r="B168" s="15">
        <v>18</v>
      </c>
      <c r="C168" s="19" t="s">
        <v>90</v>
      </c>
      <c r="D168" s="5"/>
      <c r="E168" s="5"/>
      <c r="F168" s="6">
        <f t="shared" si="9"/>
        <v>0</v>
      </c>
      <c r="G168" s="5">
        <v>343563</v>
      </c>
      <c r="H168" s="5">
        <v>3807543</v>
      </c>
      <c r="I168" s="6">
        <f t="shared" si="10"/>
        <v>4151106</v>
      </c>
    </row>
    <row r="169" spans="1:9" ht="15">
      <c r="A169" s="15">
        <v>81</v>
      </c>
      <c r="B169" s="15">
        <v>19</v>
      </c>
      <c r="C169" s="19" t="s">
        <v>91</v>
      </c>
      <c r="D169" s="5">
        <v>854100</v>
      </c>
      <c r="E169" s="5">
        <v>125000</v>
      </c>
      <c r="F169" s="6">
        <f t="shared" si="9"/>
        <v>979100</v>
      </c>
      <c r="G169" s="5">
        <v>850800</v>
      </c>
      <c r="H169" s="5">
        <v>125000</v>
      </c>
      <c r="I169" s="6">
        <f t="shared" si="10"/>
        <v>975800</v>
      </c>
    </row>
    <row r="170" spans="1:9" ht="15">
      <c r="A170" s="15">
        <v>82</v>
      </c>
      <c r="B170" s="15">
        <v>20</v>
      </c>
      <c r="C170" s="19" t="s">
        <v>92</v>
      </c>
      <c r="D170" s="5">
        <v>303000</v>
      </c>
      <c r="E170" s="5">
        <v>709000</v>
      </c>
      <c r="F170" s="6">
        <f t="shared" si="9"/>
        <v>1012000</v>
      </c>
      <c r="G170" s="5">
        <v>309000</v>
      </c>
      <c r="H170" s="5">
        <v>703000</v>
      </c>
      <c r="I170" s="6">
        <f t="shared" si="10"/>
        <v>1012000</v>
      </c>
    </row>
    <row r="171" spans="1:9" ht="15">
      <c r="A171" s="224" t="s">
        <v>5</v>
      </c>
      <c r="B171" s="225"/>
      <c r="C171" s="225"/>
      <c r="D171" s="7">
        <f>SUM(D151:D170)</f>
        <v>8021095</v>
      </c>
      <c r="E171" s="7">
        <f>SUM(E151:E170)</f>
        <v>13391400</v>
      </c>
      <c r="F171" s="7">
        <f>SUM(D171:E171)</f>
        <v>21412495</v>
      </c>
      <c r="G171" s="7">
        <f>SUM(G151:G170)</f>
        <v>10166358</v>
      </c>
      <c r="H171" s="7">
        <f>SUM(H151:H170)</f>
        <v>15492443</v>
      </c>
      <c r="I171" s="7">
        <f>SUM(G171:H171)</f>
        <v>25658801</v>
      </c>
    </row>
    <row r="172" spans="1:9" ht="15">
      <c r="A172" s="224" t="s">
        <v>93</v>
      </c>
      <c r="B172" s="225"/>
      <c r="C172" s="225"/>
      <c r="D172" s="225"/>
      <c r="E172" s="225"/>
      <c r="F172" s="225"/>
      <c r="G172" s="225"/>
      <c r="H172" s="225"/>
      <c r="I172" s="226"/>
    </row>
    <row r="173" spans="1:9" ht="15">
      <c r="A173" s="15">
        <v>83</v>
      </c>
      <c r="B173" s="15">
        <v>1</v>
      </c>
      <c r="C173" s="19" t="s">
        <v>94</v>
      </c>
      <c r="D173" s="5">
        <v>1396708</v>
      </c>
      <c r="E173" s="5">
        <v>105500</v>
      </c>
      <c r="F173" s="6">
        <f>SUM(D173:E173)</f>
        <v>1502208</v>
      </c>
      <c r="G173" s="5">
        <v>1401545</v>
      </c>
      <c r="H173" s="5">
        <v>105500</v>
      </c>
      <c r="I173" s="6">
        <f>SUM(G173:H173)</f>
        <v>1507045</v>
      </c>
    </row>
    <row r="174" spans="1:9" ht="15">
      <c r="A174" s="15">
        <v>84</v>
      </c>
      <c r="B174" s="15">
        <v>2</v>
      </c>
      <c r="C174" s="19" t="s">
        <v>95</v>
      </c>
      <c r="D174" s="5"/>
      <c r="E174" s="5">
        <v>30000</v>
      </c>
      <c r="F174" s="6">
        <f aca="true" t="shared" si="11" ref="F174:F195">SUM(D174:E174)</f>
        <v>30000</v>
      </c>
      <c r="G174" s="5"/>
      <c r="H174" s="5">
        <v>25000</v>
      </c>
      <c r="I174" s="6">
        <f aca="true" t="shared" si="12" ref="I174:I192">SUM(G174:H174)</f>
        <v>25000</v>
      </c>
    </row>
    <row r="175" spans="1:9" ht="15">
      <c r="A175" s="15">
        <v>85</v>
      </c>
      <c r="B175" s="15">
        <v>3</v>
      </c>
      <c r="C175" s="19" t="s">
        <v>96</v>
      </c>
      <c r="D175" s="5"/>
      <c r="E175" s="5">
        <f>240000+80000+45000</f>
        <v>365000</v>
      </c>
      <c r="F175" s="6">
        <f t="shared" si="11"/>
        <v>365000</v>
      </c>
      <c r="G175" s="5"/>
      <c r="H175" s="5">
        <f>240000+45000</f>
        <v>285000</v>
      </c>
      <c r="I175" s="6">
        <f t="shared" si="12"/>
        <v>285000</v>
      </c>
    </row>
    <row r="176" spans="1:9" ht="15">
      <c r="A176" s="15">
        <v>86</v>
      </c>
      <c r="B176" s="15">
        <v>4</v>
      </c>
      <c r="C176" s="19" t="s">
        <v>97</v>
      </c>
      <c r="D176" s="5"/>
      <c r="E176" s="5"/>
      <c r="F176" s="6">
        <f t="shared" si="11"/>
        <v>0</v>
      </c>
      <c r="G176" s="5">
        <v>350000</v>
      </c>
      <c r="H176" s="5">
        <v>283500</v>
      </c>
      <c r="I176" s="6">
        <f t="shared" si="12"/>
        <v>633500</v>
      </c>
    </row>
    <row r="177" spans="1:9" ht="15">
      <c r="A177" s="15">
        <v>87</v>
      </c>
      <c r="B177" s="15">
        <v>5</v>
      </c>
      <c r="C177" s="19" t="s">
        <v>98</v>
      </c>
      <c r="D177" s="5"/>
      <c r="E177" s="5">
        <f>80000*3+76000+78000*8</f>
        <v>940000</v>
      </c>
      <c r="F177" s="6">
        <f t="shared" si="11"/>
        <v>940000</v>
      </c>
      <c r="G177" s="5"/>
      <c r="H177" s="5"/>
      <c r="I177" s="6">
        <f t="shared" si="12"/>
        <v>0</v>
      </c>
    </row>
    <row r="178" spans="1:9" ht="15">
      <c r="A178" s="15">
        <v>88</v>
      </c>
      <c r="B178" s="15">
        <v>6</v>
      </c>
      <c r="C178" s="20" t="s">
        <v>99</v>
      </c>
      <c r="D178" s="5">
        <v>20000000</v>
      </c>
      <c r="E178" s="5"/>
      <c r="F178" s="6">
        <f t="shared" si="11"/>
        <v>20000000</v>
      </c>
      <c r="G178" s="5">
        <v>20000000</v>
      </c>
      <c r="H178" s="5"/>
      <c r="I178" s="6">
        <f t="shared" si="12"/>
        <v>20000000</v>
      </c>
    </row>
    <row r="179" spans="1:9" ht="15">
      <c r="A179" s="15">
        <v>89</v>
      </c>
      <c r="B179" s="15">
        <v>7</v>
      </c>
      <c r="C179" s="19" t="s">
        <v>100</v>
      </c>
      <c r="D179" s="5"/>
      <c r="E179" s="5"/>
      <c r="F179" s="6">
        <f t="shared" si="11"/>
        <v>0</v>
      </c>
      <c r="G179" s="5"/>
      <c r="H179" s="5"/>
      <c r="I179" s="6">
        <f t="shared" si="12"/>
        <v>0</v>
      </c>
    </row>
    <row r="180" spans="1:9" ht="15">
      <c r="A180" s="15">
        <v>90</v>
      </c>
      <c r="B180" s="15">
        <v>8</v>
      </c>
      <c r="C180" s="19" t="s">
        <v>101</v>
      </c>
      <c r="D180" s="5"/>
      <c r="E180" s="5"/>
      <c r="F180" s="6">
        <f t="shared" si="11"/>
        <v>0</v>
      </c>
      <c r="G180" s="5"/>
      <c r="H180" s="5"/>
      <c r="I180" s="6">
        <f t="shared" si="12"/>
        <v>0</v>
      </c>
    </row>
    <row r="181" spans="1:9" ht="15">
      <c r="A181" s="15">
        <v>91</v>
      </c>
      <c r="B181" s="15">
        <v>9</v>
      </c>
      <c r="C181" s="19" t="s">
        <v>102</v>
      </c>
      <c r="D181" s="5"/>
      <c r="E181" s="5"/>
      <c r="F181" s="6">
        <f t="shared" si="11"/>
        <v>0</v>
      </c>
      <c r="G181" s="5"/>
      <c r="H181" s="5"/>
      <c r="I181" s="6">
        <f t="shared" si="12"/>
        <v>0</v>
      </c>
    </row>
    <row r="182" spans="1:9" ht="15">
      <c r="A182" s="15">
        <v>92</v>
      </c>
      <c r="B182" s="15">
        <v>10</v>
      </c>
      <c r="C182" s="19" t="s">
        <v>103</v>
      </c>
      <c r="D182" s="5"/>
      <c r="E182" s="5"/>
      <c r="F182" s="6">
        <f t="shared" si="11"/>
        <v>0</v>
      </c>
      <c r="G182" s="5">
        <v>43500</v>
      </c>
      <c r="H182" s="5">
        <v>1500</v>
      </c>
      <c r="I182" s="6">
        <f t="shared" si="12"/>
        <v>45000</v>
      </c>
    </row>
    <row r="183" spans="1:9" ht="15">
      <c r="A183" s="15">
        <v>93</v>
      </c>
      <c r="B183" s="15">
        <v>11</v>
      </c>
      <c r="C183" s="19" t="s">
        <v>104</v>
      </c>
      <c r="D183" s="5">
        <v>8779203</v>
      </c>
      <c r="E183" s="5"/>
      <c r="F183" s="6">
        <f t="shared" si="11"/>
        <v>8779203</v>
      </c>
      <c r="G183" s="5"/>
      <c r="H183" s="5"/>
      <c r="I183" s="6">
        <f t="shared" si="12"/>
        <v>0</v>
      </c>
    </row>
    <row r="184" spans="1:9" ht="15">
      <c r="A184" s="15">
        <v>94</v>
      </c>
      <c r="B184" s="15">
        <v>12</v>
      </c>
      <c r="C184" s="19" t="s">
        <v>105</v>
      </c>
      <c r="D184" s="5"/>
      <c r="E184" s="5"/>
      <c r="F184" s="6">
        <f t="shared" si="11"/>
        <v>0</v>
      </c>
      <c r="G184" s="5"/>
      <c r="H184" s="5"/>
      <c r="I184" s="6">
        <f t="shared" si="12"/>
        <v>0</v>
      </c>
    </row>
    <row r="185" spans="1:9" ht="15">
      <c r="A185" s="15">
        <v>95</v>
      </c>
      <c r="B185" s="15">
        <v>13</v>
      </c>
      <c r="C185" s="19" t="s">
        <v>106</v>
      </c>
      <c r="D185" s="5"/>
      <c r="E185" s="5"/>
      <c r="F185" s="6">
        <f t="shared" si="11"/>
        <v>0</v>
      </c>
      <c r="G185" s="5"/>
      <c r="H185" s="5">
        <f>84000+84000</f>
        <v>168000</v>
      </c>
      <c r="I185" s="6">
        <f t="shared" si="12"/>
        <v>168000</v>
      </c>
    </row>
    <row r="186" spans="1:9" ht="15">
      <c r="A186" s="15">
        <v>96</v>
      </c>
      <c r="B186" s="15">
        <v>14</v>
      </c>
      <c r="C186" s="19" t="s">
        <v>107</v>
      </c>
      <c r="D186" s="5"/>
      <c r="E186" s="5">
        <v>70000</v>
      </c>
      <c r="F186" s="6">
        <f t="shared" si="11"/>
        <v>70000</v>
      </c>
      <c r="G186" s="5"/>
      <c r="H186" s="5"/>
      <c r="I186" s="6">
        <f t="shared" si="12"/>
        <v>0</v>
      </c>
    </row>
    <row r="187" spans="1:9" ht="15">
      <c r="A187" s="15">
        <v>97</v>
      </c>
      <c r="B187" s="15">
        <v>15</v>
      </c>
      <c r="C187" s="19" t="s">
        <v>108</v>
      </c>
      <c r="D187" s="5">
        <v>470000</v>
      </c>
      <c r="E187" s="5">
        <v>445000</v>
      </c>
      <c r="F187" s="6">
        <f t="shared" si="11"/>
        <v>915000</v>
      </c>
      <c r="G187" s="5">
        <v>463000</v>
      </c>
      <c r="H187" s="5">
        <v>445000</v>
      </c>
      <c r="I187" s="6">
        <f t="shared" si="12"/>
        <v>908000</v>
      </c>
    </row>
    <row r="188" spans="1:9" ht="15">
      <c r="A188" s="15">
        <v>98</v>
      </c>
      <c r="B188" s="15">
        <v>16</v>
      </c>
      <c r="C188" s="19" t="s">
        <v>109</v>
      </c>
      <c r="D188" s="5">
        <v>997100</v>
      </c>
      <c r="E188" s="5">
        <f>403000+340000</f>
        <v>743000</v>
      </c>
      <c r="F188" s="6">
        <f t="shared" si="11"/>
        <v>1740100</v>
      </c>
      <c r="G188" s="5">
        <v>997100</v>
      </c>
      <c r="H188" s="5">
        <f>401000+340000</f>
        <v>741000</v>
      </c>
      <c r="I188" s="6">
        <f t="shared" si="12"/>
        <v>1738100</v>
      </c>
    </row>
    <row r="189" spans="1:9" ht="15">
      <c r="A189" s="15">
        <v>99</v>
      </c>
      <c r="B189" s="15">
        <v>17</v>
      </c>
      <c r="C189" s="19" t="s">
        <v>110</v>
      </c>
      <c r="D189" s="5"/>
      <c r="E189" s="5"/>
      <c r="F189" s="6">
        <f t="shared" si="11"/>
        <v>0</v>
      </c>
      <c r="G189" s="5"/>
      <c r="H189" s="5"/>
      <c r="I189" s="6">
        <f t="shared" si="12"/>
        <v>0</v>
      </c>
    </row>
    <row r="190" spans="1:9" ht="15">
      <c r="A190" s="15">
        <v>100</v>
      </c>
      <c r="B190" s="15">
        <v>18</v>
      </c>
      <c r="C190" s="19" t="s">
        <v>111</v>
      </c>
      <c r="D190" s="5"/>
      <c r="E190" s="5"/>
      <c r="F190" s="6">
        <f t="shared" si="11"/>
        <v>0</v>
      </c>
      <c r="G190" s="5"/>
      <c r="H190" s="5"/>
      <c r="I190" s="6">
        <f t="shared" si="12"/>
        <v>0</v>
      </c>
    </row>
    <row r="191" spans="1:9" ht="15">
      <c r="A191" s="15">
        <v>101</v>
      </c>
      <c r="B191" s="15">
        <v>19</v>
      </c>
      <c r="C191" s="19" t="s">
        <v>112</v>
      </c>
      <c r="D191" s="5"/>
      <c r="E191" s="5"/>
      <c r="F191" s="6">
        <f t="shared" si="11"/>
        <v>0</v>
      </c>
      <c r="G191" s="5"/>
      <c r="H191" s="5"/>
      <c r="I191" s="6">
        <f t="shared" si="12"/>
        <v>0</v>
      </c>
    </row>
    <row r="192" spans="1:9" ht="15">
      <c r="A192" s="15">
        <v>102</v>
      </c>
      <c r="B192" s="15">
        <v>20</v>
      </c>
      <c r="C192" s="19" t="s">
        <v>113</v>
      </c>
      <c r="D192" s="5"/>
      <c r="E192" s="5"/>
      <c r="F192" s="6">
        <f t="shared" si="11"/>
        <v>0</v>
      </c>
      <c r="G192" s="5"/>
      <c r="H192" s="5"/>
      <c r="I192" s="6">
        <f t="shared" si="12"/>
        <v>0</v>
      </c>
    </row>
    <row r="193" spans="1:9" ht="15">
      <c r="A193" s="15">
        <v>103</v>
      </c>
      <c r="B193" s="15">
        <v>21</v>
      </c>
      <c r="C193" s="19" t="s">
        <v>114</v>
      </c>
      <c r="D193" s="5"/>
      <c r="E193" s="5"/>
      <c r="F193" s="6">
        <f>SUM(D193:E193)</f>
        <v>0</v>
      </c>
      <c r="G193" s="5"/>
      <c r="H193" s="5"/>
      <c r="I193" s="6">
        <f>SUM(G193:H193)</f>
        <v>0</v>
      </c>
    </row>
    <row r="194" spans="1:9" ht="15">
      <c r="A194" s="15">
        <v>104</v>
      </c>
      <c r="B194" s="15">
        <v>22</v>
      </c>
      <c r="C194" s="19" t="s">
        <v>115</v>
      </c>
      <c r="D194" s="5"/>
      <c r="E194" s="5"/>
      <c r="F194" s="6">
        <f t="shared" si="11"/>
        <v>0</v>
      </c>
      <c r="G194" s="5"/>
      <c r="H194" s="5"/>
      <c r="I194" s="6">
        <f>SUM(G194:H194)</f>
        <v>0</v>
      </c>
    </row>
    <row r="195" spans="1:9" ht="15">
      <c r="A195" s="15">
        <v>105</v>
      </c>
      <c r="B195" s="15">
        <v>23</v>
      </c>
      <c r="C195" s="19" t="s">
        <v>116</v>
      </c>
      <c r="D195" s="5">
        <v>43500</v>
      </c>
      <c r="E195" s="5">
        <v>1500</v>
      </c>
      <c r="F195" s="6">
        <f t="shared" si="11"/>
        <v>45000</v>
      </c>
      <c r="G195" s="5"/>
      <c r="H195" s="5"/>
      <c r="I195" s="6">
        <f>SUM(G195:H195)</f>
        <v>0</v>
      </c>
    </row>
    <row r="196" spans="1:9" ht="15">
      <c r="A196" s="224" t="s">
        <v>5</v>
      </c>
      <c r="B196" s="225"/>
      <c r="C196" s="225"/>
      <c r="D196" s="7">
        <f>SUM(D173:D195)</f>
        <v>31686511</v>
      </c>
      <c r="E196" s="7">
        <f>SUM(E173:E195)</f>
        <v>2700000</v>
      </c>
      <c r="F196" s="7">
        <f>SUM(D196:E196)</f>
        <v>34386511</v>
      </c>
      <c r="G196" s="7">
        <f>SUM(G173:G195)</f>
        <v>23255145</v>
      </c>
      <c r="H196" s="7">
        <f>SUM(H173:H195)</f>
        <v>2054500</v>
      </c>
      <c r="I196" s="7">
        <f>SUM(G196:H196)</f>
        <v>25309645</v>
      </c>
    </row>
    <row r="197" spans="1:9" ht="15">
      <c r="A197" s="224" t="s">
        <v>117</v>
      </c>
      <c r="B197" s="225"/>
      <c r="C197" s="225"/>
      <c r="D197" s="225"/>
      <c r="E197" s="225"/>
      <c r="F197" s="225"/>
      <c r="G197" s="225"/>
      <c r="H197" s="225"/>
      <c r="I197" s="226"/>
    </row>
    <row r="198" spans="1:9" ht="15">
      <c r="A198" s="15">
        <v>106</v>
      </c>
      <c r="B198" s="15">
        <v>1</v>
      </c>
      <c r="C198" s="10" t="s">
        <v>118</v>
      </c>
      <c r="D198" s="5"/>
      <c r="E198" s="5">
        <v>36000</v>
      </c>
      <c r="F198" s="6">
        <f>SUM(D198:E198)</f>
        <v>36000</v>
      </c>
      <c r="G198" s="5"/>
      <c r="H198" s="5">
        <v>40000</v>
      </c>
      <c r="I198" s="6">
        <f>SUM(G198:H198)</f>
        <v>40000</v>
      </c>
    </row>
    <row r="199" spans="1:9" ht="15">
      <c r="A199" s="15">
        <v>107</v>
      </c>
      <c r="B199" s="15">
        <v>2</v>
      </c>
      <c r="C199" s="17" t="s">
        <v>119</v>
      </c>
      <c r="D199" s="5">
        <v>352027</v>
      </c>
      <c r="E199" s="5">
        <v>72200</v>
      </c>
      <c r="F199" s="6">
        <f aca="true" t="shared" si="13" ref="F199:F249">SUM(D199:E199)</f>
        <v>424227</v>
      </c>
      <c r="G199" s="5">
        <v>352027</v>
      </c>
      <c r="H199" s="5">
        <v>72200</v>
      </c>
      <c r="I199" s="6">
        <f aca="true" t="shared" si="14" ref="I199:I207">SUM(G199:H199)</f>
        <v>424227</v>
      </c>
    </row>
    <row r="200" spans="1:9" ht="15">
      <c r="A200" s="15">
        <v>108</v>
      </c>
      <c r="B200" s="15">
        <v>3</v>
      </c>
      <c r="C200" s="17" t="s">
        <v>120</v>
      </c>
      <c r="D200" s="5"/>
      <c r="E200" s="5">
        <v>90000</v>
      </c>
      <c r="F200" s="6">
        <f t="shared" si="13"/>
        <v>90000</v>
      </c>
      <c r="G200" s="5"/>
      <c r="H200" s="5"/>
      <c r="I200" s="6">
        <f t="shared" si="14"/>
        <v>0</v>
      </c>
    </row>
    <row r="201" spans="1:9" ht="15">
      <c r="A201" s="15">
        <v>109</v>
      </c>
      <c r="B201" s="15">
        <v>4</v>
      </c>
      <c r="C201" s="10" t="s">
        <v>121</v>
      </c>
      <c r="D201" s="5">
        <v>410700</v>
      </c>
      <c r="E201" s="5">
        <v>42000</v>
      </c>
      <c r="F201" s="6">
        <f t="shared" si="13"/>
        <v>452700</v>
      </c>
      <c r="G201" s="5"/>
      <c r="H201" s="5"/>
      <c r="I201" s="6">
        <f t="shared" si="14"/>
        <v>0</v>
      </c>
    </row>
    <row r="202" spans="1:9" ht="15">
      <c r="A202" s="15">
        <v>110</v>
      </c>
      <c r="B202" s="15">
        <v>5</v>
      </c>
      <c r="C202" s="23" t="s">
        <v>122</v>
      </c>
      <c r="D202" s="5"/>
      <c r="E202" s="5"/>
      <c r="F202" s="6">
        <f t="shared" si="13"/>
        <v>0</v>
      </c>
      <c r="G202" s="5"/>
      <c r="H202" s="5"/>
      <c r="I202" s="6">
        <f t="shared" si="14"/>
        <v>0</v>
      </c>
    </row>
    <row r="203" spans="1:9" ht="15">
      <c r="A203" s="15">
        <v>111</v>
      </c>
      <c r="B203" s="15">
        <v>6</v>
      </c>
      <c r="C203" s="23" t="s">
        <v>123</v>
      </c>
      <c r="D203" s="5">
        <v>190100</v>
      </c>
      <c r="E203" s="5">
        <v>350000</v>
      </c>
      <c r="F203" s="6">
        <f t="shared" si="13"/>
        <v>540100</v>
      </c>
      <c r="G203" s="5">
        <v>190100</v>
      </c>
      <c r="H203" s="5">
        <v>350000</v>
      </c>
      <c r="I203" s="6">
        <f t="shared" si="14"/>
        <v>540100</v>
      </c>
    </row>
    <row r="204" spans="1:9" ht="15">
      <c r="A204" s="15">
        <v>112</v>
      </c>
      <c r="B204" s="15">
        <v>7</v>
      </c>
      <c r="C204" s="23" t="s">
        <v>124</v>
      </c>
      <c r="D204" s="5"/>
      <c r="E204" s="5"/>
      <c r="F204" s="6">
        <f t="shared" si="13"/>
        <v>0</v>
      </c>
      <c r="G204" s="5"/>
      <c r="H204" s="5"/>
      <c r="I204" s="6">
        <f t="shared" si="14"/>
        <v>0</v>
      </c>
    </row>
    <row r="205" spans="1:9" ht="15">
      <c r="A205" s="15">
        <v>113</v>
      </c>
      <c r="B205" s="15">
        <v>8</v>
      </c>
      <c r="C205" s="23" t="s">
        <v>125</v>
      </c>
      <c r="D205" s="5"/>
      <c r="E205" s="5"/>
      <c r="F205" s="6">
        <f t="shared" si="13"/>
        <v>0</v>
      </c>
      <c r="G205" s="5"/>
      <c r="H205" s="5"/>
      <c r="I205" s="6">
        <f t="shared" si="14"/>
        <v>0</v>
      </c>
    </row>
    <row r="206" spans="1:9" ht="15">
      <c r="A206" s="15">
        <v>114</v>
      </c>
      <c r="B206" s="15">
        <v>9</v>
      </c>
      <c r="C206" s="23" t="s">
        <v>126</v>
      </c>
      <c r="D206" s="5"/>
      <c r="E206" s="5"/>
      <c r="F206" s="6">
        <f t="shared" si="13"/>
        <v>0</v>
      </c>
      <c r="G206" s="5"/>
      <c r="H206" s="5"/>
      <c r="I206" s="6">
        <f t="shared" si="14"/>
        <v>0</v>
      </c>
    </row>
    <row r="207" spans="1:9" ht="15">
      <c r="A207" s="15">
        <v>115</v>
      </c>
      <c r="B207" s="15">
        <v>10</v>
      </c>
      <c r="C207" s="23" t="s">
        <v>127</v>
      </c>
      <c r="D207" s="5"/>
      <c r="E207" s="5"/>
      <c r="F207" s="6">
        <f t="shared" si="13"/>
        <v>0</v>
      </c>
      <c r="G207" s="5"/>
      <c r="H207" s="5"/>
      <c r="I207" s="6">
        <f t="shared" si="14"/>
        <v>0</v>
      </c>
    </row>
    <row r="208" spans="1:9" ht="15">
      <c r="A208" s="15">
        <v>116</v>
      </c>
      <c r="B208" s="15">
        <v>11</v>
      </c>
      <c r="C208" s="23" t="s">
        <v>129</v>
      </c>
      <c r="D208" s="5">
        <v>76000</v>
      </c>
      <c r="E208" s="5">
        <v>300000</v>
      </c>
      <c r="F208" s="6">
        <f>SUM(D208:E208)</f>
        <v>376000</v>
      </c>
      <c r="G208" s="5"/>
      <c r="H208" s="5"/>
      <c r="I208" s="6">
        <f>SUM(G208:H208)</f>
        <v>0</v>
      </c>
    </row>
    <row r="209" spans="1:9" ht="15">
      <c r="A209" s="15">
        <v>117</v>
      </c>
      <c r="B209" s="15">
        <v>12</v>
      </c>
      <c r="C209" s="24" t="s">
        <v>128</v>
      </c>
      <c r="E209" s="5">
        <v>400000</v>
      </c>
      <c r="F209" s="6">
        <f>SUM(D209:E209)</f>
        <v>400000</v>
      </c>
      <c r="H209" s="5">
        <v>400000</v>
      </c>
      <c r="I209" s="6">
        <f>SUM(G209:H209)</f>
        <v>400000</v>
      </c>
    </row>
    <row r="210" spans="1:9" ht="15">
      <c r="A210" s="15">
        <v>118</v>
      </c>
      <c r="B210" s="15">
        <v>13</v>
      </c>
      <c r="C210" s="23" t="s">
        <v>130</v>
      </c>
      <c r="D210" s="5">
        <v>992800</v>
      </c>
      <c r="E210" s="5">
        <v>1121000</v>
      </c>
      <c r="F210" s="6">
        <f t="shared" si="13"/>
        <v>2113800</v>
      </c>
      <c r="G210" s="5"/>
      <c r="H210" s="5"/>
      <c r="I210" s="6">
        <f aca="true" t="shared" si="15" ref="I210:I249">SUM(G210:H210)</f>
        <v>0</v>
      </c>
    </row>
    <row r="211" spans="1:9" ht="15">
      <c r="A211" s="15">
        <v>119</v>
      </c>
      <c r="B211" s="15">
        <v>14</v>
      </c>
      <c r="C211" s="23" t="s">
        <v>131</v>
      </c>
      <c r="D211" s="5">
        <v>420000</v>
      </c>
      <c r="E211" s="5">
        <v>300000</v>
      </c>
      <c r="F211" s="6">
        <f t="shared" si="13"/>
        <v>720000</v>
      </c>
      <c r="G211" s="5"/>
      <c r="H211" s="5"/>
      <c r="I211" s="6">
        <f t="shared" si="15"/>
        <v>0</v>
      </c>
    </row>
    <row r="212" spans="1:9" ht="15">
      <c r="A212" s="15">
        <v>120</v>
      </c>
      <c r="B212" s="15">
        <v>15</v>
      </c>
      <c r="C212" s="23" t="s">
        <v>132</v>
      </c>
      <c r="D212" s="5"/>
      <c r="E212" s="5">
        <v>26000</v>
      </c>
      <c r="F212" s="6">
        <f t="shared" si="13"/>
        <v>26000</v>
      </c>
      <c r="G212" s="5"/>
      <c r="H212" s="5">
        <v>26000</v>
      </c>
      <c r="I212" s="6">
        <f t="shared" si="15"/>
        <v>26000</v>
      </c>
    </row>
    <row r="213" spans="1:9" ht="15">
      <c r="A213" s="15">
        <v>121</v>
      </c>
      <c r="B213" s="15">
        <v>16</v>
      </c>
      <c r="C213" s="23" t="s">
        <v>133</v>
      </c>
      <c r="D213" s="5"/>
      <c r="E213" s="5"/>
      <c r="F213" s="6">
        <f t="shared" si="13"/>
        <v>0</v>
      </c>
      <c r="G213" s="5"/>
      <c r="H213" s="5"/>
      <c r="I213" s="6">
        <f t="shared" si="15"/>
        <v>0</v>
      </c>
    </row>
    <row r="214" spans="1:9" ht="15">
      <c r="A214" s="15">
        <v>122</v>
      </c>
      <c r="B214" s="15">
        <v>17</v>
      </c>
      <c r="C214" s="23" t="s">
        <v>134</v>
      </c>
      <c r="D214" s="5"/>
      <c r="E214" s="5">
        <v>27000</v>
      </c>
      <c r="F214" s="6">
        <f t="shared" si="13"/>
        <v>27000</v>
      </c>
      <c r="G214" s="5"/>
      <c r="H214" s="5">
        <v>27000</v>
      </c>
      <c r="I214" s="6">
        <f t="shared" si="15"/>
        <v>27000</v>
      </c>
    </row>
    <row r="215" spans="1:9" ht="15">
      <c r="A215" s="15">
        <v>123</v>
      </c>
      <c r="B215" s="15">
        <v>18</v>
      </c>
      <c r="C215" s="23" t="s">
        <v>135</v>
      </c>
      <c r="D215" s="5"/>
      <c r="E215" s="5"/>
      <c r="F215" s="6">
        <f t="shared" si="13"/>
        <v>0</v>
      </c>
      <c r="G215" s="5"/>
      <c r="H215" s="5"/>
      <c r="I215" s="6">
        <f t="shared" si="15"/>
        <v>0</v>
      </c>
    </row>
    <row r="216" spans="1:9" ht="15">
      <c r="A216" s="15">
        <v>124</v>
      </c>
      <c r="B216" s="15">
        <v>19</v>
      </c>
      <c r="C216" s="23" t="s">
        <v>136</v>
      </c>
      <c r="D216" s="5"/>
      <c r="E216" s="5">
        <v>187000</v>
      </c>
      <c r="F216" s="6">
        <f t="shared" si="13"/>
        <v>187000</v>
      </c>
      <c r="G216" s="5"/>
      <c r="H216" s="5">
        <v>187000</v>
      </c>
      <c r="I216" s="6">
        <f t="shared" si="15"/>
        <v>187000</v>
      </c>
    </row>
    <row r="217" spans="1:9" ht="15">
      <c r="A217" s="15">
        <v>125</v>
      </c>
      <c r="B217" s="15">
        <v>20</v>
      </c>
      <c r="C217" s="23" t="s">
        <v>137</v>
      </c>
      <c r="D217" s="5"/>
      <c r="E217" s="5"/>
      <c r="F217" s="6">
        <f t="shared" si="13"/>
        <v>0</v>
      </c>
      <c r="G217" s="5"/>
      <c r="H217" s="5"/>
      <c r="I217" s="6">
        <f t="shared" si="15"/>
        <v>0</v>
      </c>
    </row>
    <row r="218" spans="1:9" ht="15">
      <c r="A218" s="15">
        <v>126</v>
      </c>
      <c r="B218" s="15">
        <v>21</v>
      </c>
      <c r="C218" s="23" t="s">
        <v>138</v>
      </c>
      <c r="D218" s="5">
        <v>91000</v>
      </c>
      <c r="E218" s="5">
        <v>145000</v>
      </c>
      <c r="F218" s="6">
        <f t="shared" si="13"/>
        <v>236000</v>
      </c>
      <c r="G218" s="5">
        <v>91000</v>
      </c>
      <c r="H218" s="5">
        <v>145000</v>
      </c>
      <c r="I218" s="6">
        <f t="shared" si="15"/>
        <v>236000</v>
      </c>
    </row>
    <row r="219" spans="1:9" ht="15">
      <c r="A219" s="15">
        <v>127</v>
      </c>
      <c r="B219" s="15">
        <v>22</v>
      </c>
      <c r="C219" s="23" t="s">
        <v>139</v>
      </c>
      <c r="D219" s="5"/>
      <c r="E219" s="5">
        <v>175000</v>
      </c>
      <c r="F219" s="6">
        <f t="shared" si="13"/>
        <v>175000</v>
      </c>
      <c r="G219" s="5"/>
      <c r="H219" s="5">
        <v>175000</v>
      </c>
      <c r="I219" s="6">
        <f t="shared" si="15"/>
        <v>175000</v>
      </c>
    </row>
    <row r="220" spans="1:9" ht="15">
      <c r="A220" s="15">
        <v>128</v>
      </c>
      <c r="B220" s="15">
        <v>23</v>
      </c>
      <c r="C220" s="23" t="s">
        <v>140</v>
      </c>
      <c r="D220" s="5"/>
      <c r="E220" s="5"/>
      <c r="F220" s="6">
        <f t="shared" si="13"/>
        <v>0</v>
      </c>
      <c r="G220" s="5"/>
      <c r="H220" s="5"/>
      <c r="I220" s="6">
        <f t="shared" si="15"/>
        <v>0</v>
      </c>
    </row>
    <row r="221" spans="1:9" ht="15">
      <c r="A221" s="15">
        <v>129</v>
      </c>
      <c r="B221" s="15">
        <v>24</v>
      </c>
      <c r="C221" s="23" t="s">
        <v>141</v>
      </c>
      <c r="D221" s="5">
        <v>79000</v>
      </c>
      <c r="E221" s="5">
        <v>715000</v>
      </c>
      <c r="F221" s="6">
        <f t="shared" si="13"/>
        <v>794000</v>
      </c>
      <c r="G221" s="5">
        <v>154000</v>
      </c>
      <c r="H221" s="5">
        <v>670000</v>
      </c>
      <c r="I221" s="6">
        <f t="shared" si="15"/>
        <v>824000</v>
      </c>
    </row>
    <row r="222" spans="1:9" ht="15">
      <c r="A222" s="15">
        <v>130</v>
      </c>
      <c r="B222" s="15">
        <v>25</v>
      </c>
      <c r="C222" s="23" t="s">
        <v>142</v>
      </c>
      <c r="D222" s="5">
        <v>354000</v>
      </c>
      <c r="E222" s="5"/>
      <c r="F222" s="6">
        <f t="shared" si="13"/>
        <v>354000</v>
      </c>
      <c r="G222" s="5">
        <v>354000</v>
      </c>
      <c r="H222" s="5">
        <v>160000</v>
      </c>
      <c r="I222" s="6">
        <f t="shared" si="15"/>
        <v>514000</v>
      </c>
    </row>
    <row r="223" spans="1:9" ht="15">
      <c r="A223" s="15">
        <v>131</v>
      </c>
      <c r="B223" s="15">
        <v>26</v>
      </c>
      <c r="C223" s="23" t="s">
        <v>143</v>
      </c>
      <c r="D223" s="5"/>
      <c r="E223" s="5"/>
      <c r="F223" s="6">
        <f t="shared" si="13"/>
        <v>0</v>
      </c>
      <c r="G223" s="5"/>
      <c r="H223" s="5"/>
      <c r="I223" s="6">
        <f t="shared" si="15"/>
        <v>0</v>
      </c>
    </row>
    <row r="224" spans="1:9" ht="15">
      <c r="A224" s="15">
        <v>132</v>
      </c>
      <c r="B224" s="15">
        <v>27</v>
      </c>
      <c r="C224" s="23" t="s">
        <v>144</v>
      </c>
      <c r="D224" s="5">
        <v>885000</v>
      </c>
      <c r="E224" s="5"/>
      <c r="F224" s="6">
        <f t="shared" si="13"/>
        <v>885000</v>
      </c>
      <c r="G224" s="5">
        <v>888000</v>
      </c>
      <c r="H224" s="5"/>
      <c r="I224" s="6">
        <f t="shared" si="15"/>
        <v>888000</v>
      </c>
    </row>
    <row r="225" spans="1:9" ht="15">
      <c r="A225" s="15">
        <v>133</v>
      </c>
      <c r="B225" s="15">
        <v>28</v>
      </c>
      <c r="C225" s="23" t="s">
        <v>145</v>
      </c>
      <c r="D225" s="5"/>
      <c r="E225" s="5"/>
      <c r="F225" s="6">
        <f t="shared" si="13"/>
        <v>0</v>
      </c>
      <c r="G225" s="5"/>
      <c r="H225" s="5"/>
      <c r="I225" s="6">
        <f t="shared" si="15"/>
        <v>0</v>
      </c>
    </row>
    <row r="226" spans="1:9" ht="15">
      <c r="A226" s="15">
        <v>134</v>
      </c>
      <c r="B226" s="15">
        <v>29</v>
      </c>
      <c r="C226" s="23" t="s">
        <v>146</v>
      </c>
      <c r="D226" s="5"/>
      <c r="E226" s="5">
        <v>1284000</v>
      </c>
      <c r="F226" s="6">
        <f t="shared" si="13"/>
        <v>1284000</v>
      </c>
      <c r="G226" s="5"/>
      <c r="H226" s="5"/>
      <c r="I226" s="6">
        <f t="shared" si="15"/>
        <v>0</v>
      </c>
    </row>
    <row r="227" spans="1:9" ht="15">
      <c r="A227" s="15">
        <v>135</v>
      </c>
      <c r="B227" s="15">
        <v>30</v>
      </c>
      <c r="C227" s="23" t="s">
        <v>147</v>
      </c>
      <c r="D227" s="5"/>
      <c r="E227" s="5"/>
      <c r="F227" s="6">
        <f t="shared" si="13"/>
        <v>0</v>
      </c>
      <c r="G227" s="5"/>
      <c r="H227" s="5"/>
      <c r="I227" s="6">
        <f t="shared" si="15"/>
        <v>0</v>
      </c>
    </row>
    <row r="228" spans="1:9" ht="15">
      <c r="A228" s="15">
        <v>136</v>
      </c>
      <c r="B228" s="15">
        <v>31</v>
      </c>
      <c r="C228" s="23" t="s">
        <v>148</v>
      </c>
      <c r="D228" s="5"/>
      <c r="E228" s="5"/>
      <c r="F228" s="6">
        <f t="shared" si="13"/>
        <v>0</v>
      </c>
      <c r="G228" s="5"/>
      <c r="H228" s="5"/>
      <c r="I228" s="6">
        <f t="shared" si="15"/>
        <v>0</v>
      </c>
    </row>
    <row r="229" spans="1:9" ht="15">
      <c r="A229" s="15">
        <v>137</v>
      </c>
      <c r="B229" s="15">
        <v>32</v>
      </c>
      <c r="C229" s="23" t="s">
        <v>149</v>
      </c>
      <c r="D229" s="5"/>
      <c r="E229" s="5">
        <v>113000</v>
      </c>
      <c r="F229" s="6">
        <f t="shared" si="13"/>
        <v>113000</v>
      </c>
      <c r="G229" s="5"/>
      <c r="H229" s="5">
        <v>112000</v>
      </c>
      <c r="I229" s="6">
        <f t="shared" si="15"/>
        <v>112000</v>
      </c>
    </row>
    <row r="230" spans="1:9" ht="15">
      <c r="A230" s="15">
        <v>138</v>
      </c>
      <c r="B230" s="15">
        <v>33</v>
      </c>
      <c r="C230" s="23" t="s">
        <v>150</v>
      </c>
      <c r="D230" s="5">
        <v>86000</v>
      </c>
      <c r="E230" s="5"/>
      <c r="F230" s="6">
        <f t="shared" si="13"/>
        <v>86000</v>
      </c>
      <c r="G230" s="5"/>
      <c r="H230" s="5"/>
      <c r="I230" s="6">
        <f t="shared" si="15"/>
        <v>0</v>
      </c>
    </row>
    <row r="231" spans="1:9" ht="15">
      <c r="A231" s="15">
        <v>139</v>
      </c>
      <c r="B231" s="15">
        <v>34</v>
      </c>
      <c r="C231" s="23" t="s">
        <v>151</v>
      </c>
      <c r="D231" s="5"/>
      <c r="E231" s="5"/>
      <c r="F231" s="6">
        <f t="shared" si="13"/>
        <v>0</v>
      </c>
      <c r="G231" s="5"/>
      <c r="H231" s="5"/>
      <c r="I231" s="6">
        <f t="shared" si="15"/>
        <v>0</v>
      </c>
    </row>
    <row r="232" spans="1:9" ht="15">
      <c r="A232" s="15">
        <v>140</v>
      </c>
      <c r="B232" s="15">
        <v>35</v>
      </c>
      <c r="C232" s="23" t="s">
        <v>152</v>
      </c>
      <c r="D232" s="5"/>
      <c r="E232" s="5"/>
      <c r="F232" s="6">
        <f t="shared" si="13"/>
        <v>0</v>
      </c>
      <c r="G232" s="5"/>
      <c r="H232" s="5"/>
      <c r="I232" s="6">
        <f t="shared" si="15"/>
        <v>0</v>
      </c>
    </row>
    <row r="233" spans="1:9" ht="15">
      <c r="A233" s="15">
        <v>141</v>
      </c>
      <c r="B233" s="15">
        <v>36</v>
      </c>
      <c r="C233" s="23" t="s">
        <v>153</v>
      </c>
      <c r="D233" s="5"/>
      <c r="E233" s="5"/>
      <c r="F233" s="6">
        <f t="shared" si="13"/>
        <v>0</v>
      </c>
      <c r="G233" s="5"/>
      <c r="H233" s="5"/>
      <c r="I233" s="6">
        <f t="shared" si="15"/>
        <v>0</v>
      </c>
    </row>
    <row r="234" spans="1:9" ht="15">
      <c r="A234" s="15">
        <v>142</v>
      </c>
      <c r="B234" s="15">
        <v>37</v>
      </c>
      <c r="C234" s="23" t="s">
        <v>154</v>
      </c>
      <c r="D234" s="5"/>
      <c r="E234" s="5"/>
      <c r="F234" s="6">
        <f t="shared" si="13"/>
        <v>0</v>
      </c>
      <c r="G234" s="5"/>
      <c r="H234" s="5"/>
      <c r="I234" s="6">
        <f t="shared" si="15"/>
        <v>0</v>
      </c>
    </row>
    <row r="235" spans="1:9" ht="15">
      <c r="A235" s="15">
        <v>143</v>
      </c>
      <c r="B235" s="15">
        <v>38</v>
      </c>
      <c r="C235" s="23" t="s">
        <v>155</v>
      </c>
      <c r="D235" s="5"/>
      <c r="E235" s="5"/>
      <c r="F235" s="6">
        <f t="shared" si="13"/>
        <v>0</v>
      </c>
      <c r="G235" s="5"/>
      <c r="H235" s="5"/>
      <c r="I235" s="6">
        <f t="shared" si="15"/>
        <v>0</v>
      </c>
    </row>
    <row r="236" spans="1:9" ht="15">
      <c r="A236" s="15">
        <v>144</v>
      </c>
      <c r="B236" s="15">
        <v>39</v>
      </c>
      <c r="C236" s="23" t="s">
        <v>156</v>
      </c>
      <c r="D236" s="5"/>
      <c r="E236" s="5">
        <v>330000</v>
      </c>
      <c r="F236" s="6">
        <f t="shared" si="13"/>
        <v>330000</v>
      </c>
      <c r="G236" s="5"/>
      <c r="H236" s="5">
        <v>330000</v>
      </c>
      <c r="I236" s="6">
        <f t="shared" si="15"/>
        <v>330000</v>
      </c>
    </row>
    <row r="237" spans="1:9" ht="15">
      <c r="A237" s="15">
        <v>145</v>
      </c>
      <c r="B237" s="15">
        <v>40</v>
      </c>
      <c r="C237" s="23" t="s">
        <v>157</v>
      </c>
      <c r="D237" s="5"/>
      <c r="E237" s="5"/>
      <c r="F237" s="6">
        <f t="shared" si="13"/>
        <v>0</v>
      </c>
      <c r="G237" s="5"/>
      <c r="H237" s="5"/>
      <c r="I237" s="6">
        <f t="shared" si="15"/>
        <v>0</v>
      </c>
    </row>
    <row r="238" spans="1:9" ht="15">
      <c r="A238" s="15">
        <v>146</v>
      </c>
      <c r="B238" s="15">
        <v>41</v>
      </c>
      <c r="C238" s="23" t="s">
        <v>158</v>
      </c>
      <c r="D238" s="5"/>
      <c r="E238" s="5"/>
      <c r="F238" s="6">
        <f t="shared" si="13"/>
        <v>0</v>
      </c>
      <c r="G238" s="5"/>
      <c r="H238" s="5"/>
      <c r="I238" s="6">
        <f t="shared" si="15"/>
        <v>0</v>
      </c>
    </row>
    <row r="239" spans="1:9" ht="15">
      <c r="A239" s="15">
        <v>147</v>
      </c>
      <c r="B239" s="15">
        <v>42</v>
      </c>
      <c r="C239" s="23" t="s">
        <v>159</v>
      </c>
      <c r="D239" s="5"/>
      <c r="E239" s="5"/>
      <c r="F239" s="6">
        <f t="shared" si="13"/>
        <v>0</v>
      </c>
      <c r="G239" s="5"/>
      <c r="H239" s="5"/>
      <c r="I239" s="6">
        <f t="shared" si="15"/>
        <v>0</v>
      </c>
    </row>
    <row r="240" spans="1:9" ht="15">
      <c r="A240" s="15">
        <v>148</v>
      </c>
      <c r="B240" s="15">
        <v>43</v>
      </c>
      <c r="C240" s="23" t="s">
        <v>160</v>
      </c>
      <c r="D240" s="5"/>
      <c r="E240" s="5"/>
      <c r="F240" s="6">
        <f t="shared" si="13"/>
        <v>0</v>
      </c>
      <c r="G240" s="5">
        <v>400000</v>
      </c>
      <c r="H240" s="5"/>
      <c r="I240" s="6">
        <f t="shared" si="15"/>
        <v>400000</v>
      </c>
    </row>
    <row r="241" spans="1:9" ht="15">
      <c r="A241" s="15">
        <v>149</v>
      </c>
      <c r="B241" s="15">
        <v>44</v>
      </c>
      <c r="C241" s="23" t="s">
        <v>161</v>
      </c>
      <c r="D241" s="5"/>
      <c r="E241" s="5"/>
      <c r="F241" s="6">
        <f t="shared" si="13"/>
        <v>0</v>
      </c>
      <c r="G241" s="5"/>
      <c r="H241" s="5"/>
      <c r="I241" s="6">
        <f t="shared" si="15"/>
        <v>0</v>
      </c>
    </row>
    <row r="242" spans="1:9" ht="15">
      <c r="A242" s="15">
        <v>150</v>
      </c>
      <c r="B242" s="15">
        <v>45</v>
      </c>
      <c r="C242" s="23" t="s">
        <v>246</v>
      </c>
      <c r="D242" s="5"/>
      <c r="E242" s="5"/>
      <c r="F242" s="6">
        <f>SUM(D242:E242)</f>
        <v>0</v>
      </c>
      <c r="G242" s="5"/>
      <c r="H242" s="5"/>
      <c r="I242" s="6">
        <f>SUM(G242:H242)</f>
        <v>0</v>
      </c>
    </row>
    <row r="243" spans="1:9" ht="15">
      <c r="A243" s="15">
        <v>151</v>
      </c>
      <c r="B243" s="15">
        <v>46</v>
      </c>
      <c r="C243" s="23" t="s">
        <v>169</v>
      </c>
      <c r="D243" s="5"/>
      <c r="E243" s="5"/>
      <c r="F243" s="6">
        <f>SUM(D243:E243)</f>
        <v>0</v>
      </c>
      <c r="G243" s="5"/>
      <c r="H243" s="5"/>
      <c r="I243" s="6">
        <f>SUM(G243:H243)</f>
        <v>0</v>
      </c>
    </row>
    <row r="244" spans="1:9" ht="15">
      <c r="A244" s="15">
        <v>152</v>
      </c>
      <c r="B244" s="15">
        <v>47</v>
      </c>
      <c r="C244" s="25" t="s">
        <v>170</v>
      </c>
      <c r="D244" s="5">
        <v>950000</v>
      </c>
      <c r="E244" s="5"/>
      <c r="F244" s="6">
        <f>SUM(D244:E244)</f>
        <v>950000</v>
      </c>
      <c r="G244" s="5">
        <v>950000</v>
      </c>
      <c r="H244" s="5"/>
      <c r="I244" s="6">
        <f>SUM(G244:H244)</f>
        <v>950000</v>
      </c>
    </row>
    <row r="245" spans="1:9" ht="15">
      <c r="A245" s="15">
        <v>153</v>
      </c>
      <c r="B245" s="15">
        <v>48</v>
      </c>
      <c r="C245" s="23" t="s">
        <v>162</v>
      </c>
      <c r="D245" s="5">
        <v>3000000</v>
      </c>
      <c r="E245" s="5"/>
      <c r="F245" s="6">
        <f t="shared" si="13"/>
        <v>3000000</v>
      </c>
      <c r="G245" s="5"/>
      <c r="H245" s="5"/>
      <c r="I245" s="6">
        <f t="shared" si="15"/>
        <v>0</v>
      </c>
    </row>
    <row r="246" spans="1:9" ht="15">
      <c r="A246" s="15">
        <v>154</v>
      </c>
      <c r="B246" s="15">
        <v>49</v>
      </c>
      <c r="C246" s="23" t="s">
        <v>165</v>
      </c>
      <c r="D246" s="5">
        <v>1000000</v>
      </c>
      <c r="E246" s="5"/>
      <c r="F246" s="6">
        <f t="shared" si="13"/>
        <v>1000000</v>
      </c>
      <c r="G246" s="5">
        <v>1000000</v>
      </c>
      <c r="H246" s="5"/>
      <c r="I246" s="6">
        <f t="shared" si="15"/>
        <v>1000000</v>
      </c>
    </row>
    <row r="247" spans="1:9" ht="15">
      <c r="A247" s="15">
        <v>155</v>
      </c>
      <c r="B247" s="15">
        <v>50</v>
      </c>
      <c r="C247" s="23" t="s">
        <v>166</v>
      </c>
      <c r="D247" s="5"/>
      <c r="E247" s="5"/>
      <c r="F247" s="6">
        <f t="shared" si="13"/>
        <v>0</v>
      </c>
      <c r="G247" s="5"/>
      <c r="H247" s="5"/>
      <c r="I247" s="6">
        <f t="shared" si="15"/>
        <v>0</v>
      </c>
    </row>
    <row r="248" spans="1:9" ht="15">
      <c r="A248" s="15">
        <v>156</v>
      </c>
      <c r="B248" s="15">
        <v>51</v>
      </c>
      <c r="C248" s="23" t="s">
        <v>167</v>
      </c>
      <c r="D248" s="5">
        <v>1700000</v>
      </c>
      <c r="E248" s="5"/>
      <c r="F248" s="6">
        <f t="shared" si="13"/>
        <v>1700000</v>
      </c>
      <c r="G248" s="5">
        <v>1700000</v>
      </c>
      <c r="H248" s="5"/>
      <c r="I248" s="6">
        <f t="shared" si="15"/>
        <v>1700000</v>
      </c>
    </row>
    <row r="249" spans="1:9" ht="15">
      <c r="A249" s="15">
        <v>157</v>
      </c>
      <c r="B249" s="15">
        <v>52</v>
      </c>
      <c r="C249" s="23" t="s">
        <v>168</v>
      </c>
      <c r="D249" s="5">
        <v>1000000</v>
      </c>
      <c r="E249" s="5"/>
      <c r="F249" s="6">
        <f t="shared" si="13"/>
        <v>1000000</v>
      </c>
      <c r="G249" s="5"/>
      <c r="H249" s="5"/>
      <c r="I249" s="6">
        <f t="shared" si="15"/>
        <v>0</v>
      </c>
    </row>
    <row r="250" spans="1:9" ht="15">
      <c r="A250" s="15">
        <v>158</v>
      </c>
      <c r="B250" s="15">
        <v>53</v>
      </c>
      <c r="C250" s="23" t="s">
        <v>163</v>
      </c>
      <c r="D250" s="5">
        <v>750000</v>
      </c>
      <c r="E250" s="5"/>
      <c r="F250" s="6">
        <f>SUM(D250:E250)</f>
        <v>750000</v>
      </c>
      <c r="G250" s="5">
        <v>750000</v>
      </c>
      <c r="H250" s="5"/>
      <c r="I250" s="6">
        <f>SUM(G250:H250)</f>
        <v>750000</v>
      </c>
    </row>
    <row r="251" spans="1:9" ht="15">
      <c r="A251" s="15">
        <v>159</v>
      </c>
      <c r="B251" s="15">
        <v>54</v>
      </c>
      <c r="C251" s="23" t="s">
        <v>164</v>
      </c>
      <c r="D251" s="5">
        <v>350000</v>
      </c>
      <c r="E251" s="5"/>
      <c r="F251" s="6">
        <f>SUM(D251:E251)</f>
        <v>350000</v>
      </c>
      <c r="G251" s="5">
        <v>350000</v>
      </c>
      <c r="H251" s="5"/>
      <c r="I251" s="6">
        <f>SUM(G251:H251)</f>
        <v>350000</v>
      </c>
    </row>
    <row r="252" spans="1:9" ht="15">
      <c r="A252" s="239" t="s">
        <v>5</v>
      </c>
      <c r="B252" s="239"/>
      <c r="C252" s="239"/>
      <c r="D252" s="7">
        <f>SUM(D198:D251)</f>
        <v>12686627</v>
      </c>
      <c r="E252" s="7">
        <f>SUM(E198:E251)</f>
        <v>5713200</v>
      </c>
      <c r="F252" s="7">
        <f>SUM(D252:E252)</f>
        <v>18399827</v>
      </c>
      <c r="G252" s="7">
        <f>SUM(G198:G251)</f>
        <v>7179127</v>
      </c>
      <c r="H252" s="7">
        <f>SUM(H198:H251)</f>
        <v>2694200</v>
      </c>
      <c r="I252" s="7">
        <f>SUM(G252:H252)</f>
        <v>9873327</v>
      </c>
    </row>
    <row r="253" spans="1:9" ht="15">
      <c r="A253" s="224" t="s">
        <v>171</v>
      </c>
      <c r="B253" s="225"/>
      <c r="C253" s="225"/>
      <c r="D253" s="225"/>
      <c r="E253" s="225"/>
      <c r="F253" s="225"/>
      <c r="G253" s="225"/>
      <c r="H253" s="225"/>
      <c r="I253" s="226"/>
    </row>
    <row r="254" spans="1:9" ht="15">
      <c r="A254" s="15">
        <v>160</v>
      </c>
      <c r="B254" s="15">
        <v>1</v>
      </c>
      <c r="C254" s="20" t="s">
        <v>172</v>
      </c>
      <c r="D254" s="5">
        <v>961778</v>
      </c>
      <c r="E254" s="5">
        <v>30000</v>
      </c>
      <c r="F254" s="6">
        <f>SUM(D254:E254)</f>
        <v>991778</v>
      </c>
      <c r="G254" s="5"/>
      <c r="H254" s="5"/>
      <c r="I254" s="6">
        <f>SUM(G254:H254)</f>
        <v>0</v>
      </c>
    </row>
    <row r="255" spans="1:9" ht="15">
      <c r="A255" s="224" t="s">
        <v>42</v>
      </c>
      <c r="B255" s="225"/>
      <c r="C255" s="225"/>
      <c r="D255" s="7">
        <f>D254</f>
        <v>961778</v>
      </c>
      <c r="E255" s="7">
        <f>E254</f>
        <v>30000</v>
      </c>
      <c r="F255" s="7">
        <f>SUM(D255:E255)</f>
        <v>991778</v>
      </c>
      <c r="G255" s="7">
        <f>G254</f>
        <v>0</v>
      </c>
      <c r="H255" s="7">
        <f>H254</f>
        <v>0</v>
      </c>
      <c r="I255" s="7">
        <f>SUM(G255:H255)</f>
        <v>0</v>
      </c>
    </row>
    <row r="256" spans="1:9" ht="15">
      <c r="A256" s="224" t="s">
        <v>173</v>
      </c>
      <c r="B256" s="225"/>
      <c r="C256" s="225"/>
      <c r="D256" s="225"/>
      <c r="E256" s="225"/>
      <c r="F256" s="225"/>
      <c r="G256" s="225"/>
      <c r="H256" s="225"/>
      <c r="I256" s="226"/>
    </row>
    <row r="257" spans="1:9" ht="15">
      <c r="A257" s="15">
        <v>161</v>
      </c>
      <c r="B257" s="15">
        <v>1</v>
      </c>
      <c r="C257" s="26" t="s">
        <v>174</v>
      </c>
      <c r="D257" s="5"/>
      <c r="E257" s="27"/>
      <c r="F257" s="6">
        <f>SUM(D257:E257)</f>
        <v>0</v>
      </c>
      <c r="G257" s="5"/>
      <c r="H257" s="27"/>
      <c r="I257" s="6">
        <f>SUM(G257:H257)</f>
        <v>0</v>
      </c>
    </row>
    <row r="258" spans="1:9" ht="15">
      <c r="A258" s="15">
        <v>162</v>
      </c>
      <c r="B258" s="15">
        <v>2</v>
      </c>
      <c r="C258" s="28" t="s">
        <v>175</v>
      </c>
      <c r="D258" s="5">
        <v>500000</v>
      </c>
      <c r="E258" s="27">
        <v>1500000</v>
      </c>
      <c r="F258" s="6">
        <f>D258+E258</f>
        <v>2000000</v>
      </c>
      <c r="G258" s="5"/>
      <c r="H258" s="27">
        <v>1500000</v>
      </c>
      <c r="I258" s="6">
        <f>G258+H258</f>
        <v>1500000</v>
      </c>
    </row>
    <row r="259" spans="1:9" ht="15">
      <c r="A259" s="224" t="s">
        <v>42</v>
      </c>
      <c r="B259" s="225"/>
      <c r="C259" s="225"/>
      <c r="D259" s="7">
        <f>SUM(D257:D258)</f>
        <v>500000</v>
      </c>
      <c r="E259" s="7">
        <f>SUM(E257:E258)</f>
        <v>1500000</v>
      </c>
      <c r="F259" s="7">
        <f>SUM(D259:E259)</f>
        <v>2000000</v>
      </c>
      <c r="G259" s="7">
        <f>SUM(G257:G258)</f>
        <v>0</v>
      </c>
      <c r="H259" s="7">
        <f>SUM(H257:H258)</f>
        <v>1500000</v>
      </c>
      <c r="I259" s="7">
        <f>SUM(G259:H259)</f>
        <v>1500000</v>
      </c>
    </row>
    <row r="260" spans="1:9" ht="15">
      <c r="A260" s="224" t="s">
        <v>176</v>
      </c>
      <c r="B260" s="225"/>
      <c r="C260" s="225"/>
      <c r="D260" s="225"/>
      <c r="E260" s="225"/>
      <c r="F260" s="225"/>
      <c r="G260" s="225"/>
      <c r="H260" s="225"/>
      <c r="I260" s="226"/>
    </row>
    <row r="261" spans="1:9" ht="15">
      <c r="A261" s="15">
        <v>163</v>
      </c>
      <c r="B261" s="15">
        <v>1</v>
      </c>
      <c r="C261" s="17" t="s">
        <v>177</v>
      </c>
      <c r="D261" s="5"/>
      <c r="E261" s="5"/>
      <c r="F261" s="6">
        <f>SUM(D261:E261)</f>
        <v>0</v>
      </c>
      <c r="G261" s="5"/>
      <c r="H261" s="5"/>
      <c r="I261" s="6">
        <f>SUM(G261:H261)</f>
        <v>0</v>
      </c>
    </row>
    <row r="262" spans="1:9" ht="15">
      <c r="A262" s="15">
        <v>164</v>
      </c>
      <c r="B262" s="15">
        <v>2</v>
      </c>
      <c r="C262" s="17" t="s">
        <v>178</v>
      </c>
      <c r="D262" s="5">
        <f>30000000+21700000</f>
        <v>51700000</v>
      </c>
      <c r="E262" s="5">
        <v>482500</v>
      </c>
      <c r="F262" s="6">
        <f aca="true" t="shared" si="16" ref="F262:F274">SUM(D262:E262)</f>
        <v>52182500</v>
      </c>
      <c r="G262" s="5"/>
      <c r="H262" s="5"/>
      <c r="I262" s="6">
        <f aca="true" t="shared" si="17" ref="I262:I272">SUM(G262:H262)</f>
        <v>0</v>
      </c>
    </row>
    <row r="263" spans="1:9" ht="15">
      <c r="A263" s="15">
        <v>165</v>
      </c>
      <c r="B263" s="15">
        <v>3</v>
      </c>
      <c r="C263" s="29" t="s">
        <v>179</v>
      </c>
      <c r="D263" s="5"/>
      <c r="E263" s="5"/>
      <c r="F263" s="6">
        <f t="shared" si="16"/>
        <v>0</v>
      </c>
      <c r="G263" s="5"/>
      <c r="H263" s="5"/>
      <c r="I263" s="6">
        <f t="shared" si="17"/>
        <v>0</v>
      </c>
    </row>
    <row r="264" spans="1:9" ht="15">
      <c r="A264" s="15">
        <v>166</v>
      </c>
      <c r="B264" s="15">
        <v>4</v>
      </c>
      <c r="C264" s="26" t="s">
        <v>220</v>
      </c>
      <c r="D264" s="5">
        <v>200000</v>
      </c>
      <c r="E264" s="5">
        <v>200000</v>
      </c>
      <c r="F264" s="6">
        <f t="shared" si="16"/>
        <v>400000</v>
      </c>
      <c r="G264" s="5">
        <v>200000</v>
      </c>
      <c r="H264" s="5">
        <v>200000</v>
      </c>
      <c r="I264" s="6">
        <f t="shared" si="17"/>
        <v>400000</v>
      </c>
    </row>
    <row r="265" spans="1:9" ht="15">
      <c r="A265" s="15">
        <v>167</v>
      </c>
      <c r="B265" s="15">
        <v>5</v>
      </c>
      <c r="C265" s="26" t="s">
        <v>221</v>
      </c>
      <c r="D265" s="5">
        <v>150000</v>
      </c>
      <c r="E265" s="5"/>
      <c r="F265" s="6">
        <f t="shared" si="16"/>
        <v>150000</v>
      </c>
      <c r="G265" s="5"/>
      <c r="H265" s="5"/>
      <c r="I265" s="6">
        <f t="shared" si="17"/>
        <v>0</v>
      </c>
    </row>
    <row r="266" spans="1:9" ht="15">
      <c r="A266" s="15">
        <v>168</v>
      </c>
      <c r="B266" s="15">
        <v>6</v>
      </c>
      <c r="C266" s="26" t="s">
        <v>222</v>
      </c>
      <c r="D266" s="5">
        <f>100000+400000+30000</f>
        <v>530000</v>
      </c>
      <c r="E266" s="5"/>
      <c r="F266" s="6">
        <f t="shared" si="16"/>
        <v>530000</v>
      </c>
      <c r="G266" s="5">
        <f>200000+500000</f>
        <v>700000</v>
      </c>
      <c r="H266" s="5"/>
      <c r="I266" s="6">
        <f t="shared" si="17"/>
        <v>700000</v>
      </c>
    </row>
    <row r="267" spans="1:9" ht="15">
      <c r="A267" s="15">
        <v>169</v>
      </c>
      <c r="B267" s="15">
        <v>7</v>
      </c>
      <c r="C267" s="26" t="s">
        <v>223</v>
      </c>
      <c r="D267" s="5"/>
      <c r="E267" s="5"/>
      <c r="F267" s="6">
        <f t="shared" si="16"/>
        <v>0</v>
      </c>
      <c r="G267" s="5"/>
      <c r="H267" s="5">
        <v>100000</v>
      </c>
      <c r="I267" s="6">
        <f t="shared" si="17"/>
        <v>100000</v>
      </c>
    </row>
    <row r="268" spans="1:9" ht="15">
      <c r="A268" s="15">
        <v>170</v>
      </c>
      <c r="B268" s="15">
        <v>8</v>
      </c>
      <c r="C268" s="26" t="s">
        <v>256</v>
      </c>
      <c r="D268" s="5"/>
      <c r="E268" s="5"/>
      <c r="F268" s="6">
        <f t="shared" si="16"/>
        <v>0</v>
      </c>
      <c r="G268" s="5"/>
      <c r="H268" s="5"/>
      <c r="I268" s="6">
        <f t="shared" si="17"/>
        <v>0</v>
      </c>
    </row>
    <row r="269" spans="1:9" ht="15">
      <c r="A269" s="15">
        <v>171</v>
      </c>
      <c r="B269" s="15">
        <v>9</v>
      </c>
      <c r="C269" s="26" t="s">
        <v>224</v>
      </c>
      <c r="D269" s="5"/>
      <c r="E269" s="5"/>
      <c r="F269" s="6">
        <f t="shared" si="16"/>
        <v>0</v>
      </c>
      <c r="G269" s="5"/>
      <c r="H269" s="5"/>
      <c r="I269" s="6">
        <f t="shared" si="17"/>
        <v>0</v>
      </c>
    </row>
    <row r="270" spans="1:9" ht="15">
      <c r="A270" s="15">
        <v>172</v>
      </c>
      <c r="B270" s="15">
        <v>10</v>
      </c>
      <c r="C270" s="28" t="s">
        <v>186</v>
      </c>
      <c r="D270" s="5"/>
      <c r="E270" s="5"/>
      <c r="F270" s="6">
        <f>SUM(D270:E270)</f>
        <v>0</v>
      </c>
      <c r="G270" s="5"/>
      <c r="H270" s="5"/>
      <c r="I270" s="6">
        <f>SUM(G270:H270)</f>
        <v>0</v>
      </c>
    </row>
    <row r="271" spans="1:9" ht="15">
      <c r="A271" s="15">
        <v>173</v>
      </c>
      <c r="B271" s="15">
        <v>11</v>
      </c>
      <c r="C271" s="26" t="s">
        <v>180</v>
      </c>
      <c r="D271" s="5">
        <v>120000</v>
      </c>
      <c r="E271" s="5"/>
      <c r="F271" s="6">
        <f t="shared" si="16"/>
        <v>120000</v>
      </c>
      <c r="G271" s="5"/>
      <c r="H271" s="5"/>
      <c r="I271" s="6">
        <f t="shared" si="17"/>
        <v>0</v>
      </c>
    </row>
    <row r="272" spans="1:9" ht="15">
      <c r="A272" s="15">
        <v>174</v>
      </c>
      <c r="B272" s="15">
        <v>12</v>
      </c>
      <c r="C272" s="30" t="s">
        <v>181</v>
      </c>
      <c r="D272" s="31">
        <v>135000</v>
      </c>
      <c r="E272" s="5"/>
      <c r="F272" s="6">
        <f t="shared" si="16"/>
        <v>135000</v>
      </c>
      <c r="G272" s="31"/>
      <c r="H272" s="5"/>
      <c r="I272" s="6">
        <f t="shared" si="17"/>
        <v>0</v>
      </c>
    </row>
    <row r="273" spans="1:9" ht="15">
      <c r="A273" s="15">
        <v>175</v>
      </c>
      <c r="B273" s="15">
        <v>13</v>
      </c>
      <c r="C273" s="30" t="s">
        <v>182</v>
      </c>
      <c r="D273" s="5">
        <v>3050000</v>
      </c>
      <c r="E273" s="5"/>
      <c r="F273" s="6">
        <f t="shared" si="16"/>
        <v>3050000</v>
      </c>
      <c r="G273" s="5"/>
      <c r="H273" s="5"/>
      <c r="I273" s="6">
        <f>SUM(G273:H273)</f>
        <v>0</v>
      </c>
    </row>
    <row r="274" spans="1:9" ht="15">
      <c r="A274" s="15">
        <v>176</v>
      </c>
      <c r="B274" s="15">
        <v>14</v>
      </c>
      <c r="C274" s="30" t="s">
        <v>183</v>
      </c>
      <c r="D274" s="5"/>
      <c r="E274" s="5"/>
      <c r="F274" s="6">
        <f t="shared" si="16"/>
        <v>0</v>
      </c>
      <c r="G274" s="5">
        <v>125000</v>
      </c>
      <c r="H274" s="5"/>
      <c r="I274" s="6">
        <f>SUM(G274:H274)</f>
        <v>125000</v>
      </c>
    </row>
    <row r="275" spans="1:9" ht="15">
      <c r="A275" s="15">
        <v>177</v>
      </c>
      <c r="B275" s="15">
        <v>15</v>
      </c>
      <c r="C275" s="30" t="s">
        <v>184</v>
      </c>
      <c r="D275" s="5">
        <v>850000</v>
      </c>
      <c r="E275" s="5"/>
      <c r="F275" s="6">
        <f>SUM(D275:E275)</f>
        <v>850000</v>
      </c>
      <c r="G275" s="5"/>
      <c r="H275" s="5"/>
      <c r="I275" s="6">
        <f>SUM(G275:H275)</f>
        <v>0</v>
      </c>
    </row>
    <row r="276" spans="1:9" ht="15">
      <c r="A276" s="15">
        <v>178</v>
      </c>
      <c r="B276" s="15">
        <v>16</v>
      </c>
      <c r="C276" s="30" t="s">
        <v>185</v>
      </c>
      <c r="D276" s="5">
        <v>220000</v>
      </c>
      <c r="E276" s="5"/>
      <c r="F276" s="6">
        <f aca="true" t="shared" si="18" ref="F276:F283">SUM(D276:E276)</f>
        <v>220000</v>
      </c>
      <c r="G276" s="5">
        <v>220000</v>
      </c>
      <c r="H276" s="5"/>
      <c r="I276" s="6">
        <f>SUM(G276:H276)</f>
        <v>220000</v>
      </c>
    </row>
    <row r="277" spans="1:14" ht="15">
      <c r="A277" s="15">
        <v>179</v>
      </c>
      <c r="B277" s="15">
        <v>17</v>
      </c>
      <c r="C277" s="32" t="s">
        <v>187</v>
      </c>
      <c r="D277" s="31"/>
      <c r="E277" s="27"/>
      <c r="F277" s="6">
        <f t="shared" si="18"/>
        <v>0</v>
      </c>
      <c r="G277" s="31">
        <v>100000</v>
      </c>
      <c r="H277" s="27"/>
      <c r="I277" s="6">
        <f aca="true" t="shared" si="19" ref="I277:I283">SUM(G277:H277)</f>
        <v>100000</v>
      </c>
      <c r="N277" s="16"/>
    </row>
    <row r="278" spans="1:9" ht="15">
      <c r="A278" s="15">
        <v>180</v>
      </c>
      <c r="B278" s="15">
        <v>18</v>
      </c>
      <c r="C278" s="32" t="s">
        <v>189</v>
      </c>
      <c r="D278" s="31">
        <v>5000000</v>
      </c>
      <c r="E278" s="27"/>
      <c r="F278" s="6">
        <f t="shared" si="18"/>
        <v>5000000</v>
      </c>
      <c r="G278" s="31"/>
      <c r="H278" s="27"/>
      <c r="I278" s="6">
        <f t="shared" si="19"/>
        <v>0</v>
      </c>
    </row>
    <row r="279" spans="1:13" ht="15">
      <c r="A279" s="15">
        <v>181</v>
      </c>
      <c r="B279" s="15">
        <v>19</v>
      </c>
      <c r="C279" s="32" t="s">
        <v>204</v>
      </c>
      <c r="D279" s="31"/>
      <c r="E279" s="27"/>
      <c r="F279" s="6">
        <f t="shared" si="18"/>
        <v>0</v>
      </c>
      <c r="G279" s="31">
        <v>1500000</v>
      </c>
      <c r="H279" s="27"/>
      <c r="I279" s="6">
        <f t="shared" si="19"/>
        <v>1500000</v>
      </c>
      <c r="L279" s="83"/>
      <c r="M279" s="83"/>
    </row>
    <row r="280" spans="1:13" ht="15">
      <c r="A280" s="15">
        <v>182</v>
      </c>
      <c r="B280" s="15">
        <v>20</v>
      </c>
      <c r="C280" s="32" t="s">
        <v>217</v>
      </c>
      <c r="D280" s="31"/>
      <c r="E280" s="27"/>
      <c r="F280" s="6">
        <f t="shared" si="18"/>
        <v>0</v>
      </c>
      <c r="G280" s="31">
        <f>262500+325000</f>
        <v>587500</v>
      </c>
      <c r="H280" s="27"/>
      <c r="I280" s="6">
        <f t="shared" si="19"/>
        <v>587500</v>
      </c>
      <c r="L280" s="16"/>
      <c r="M280" s="16"/>
    </row>
    <row r="281" spans="1:13" ht="15">
      <c r="A281" s="15">
        <v>183</v>
      </c>
      <c r="B281" s="15">
        <v>21</v>
      </c>
      <c r="C281" s="32" t="s">
        <v>218</v>
      </c>
      <c r="D281" s="31"/>
      <c r="E281" s="27"/>
      <c r="F281" s="6">
        <f t="shared" si="18"/>
        <v>0</v>
      </c>
      <c r="G281" s="31"/>
      <c r="H281" s="27">
        <v>1000000</v>
      </c>
      <c r="I281" s="6">
        <f t="shared" si="19"/>
        <v>1000000</v>
      </c>
      <c r="L281" s="16"/>
      <c r="M281" s="16"/>
    </row>
    <row r="282" spans="1:13" ht="15">
      <c r="A282" s="15">
        <v>184</v>
      </c>
      <c r="B282" s="15">
        <v>22</v>
      </c>
      <c r="C282" s="32" t="s">
        <v>219</v>
      </c>
      <c r="D282" s="31"/>
      <c r="E282" s="27"/>
      <c r="F282" s="6">
        <f t="shared" si="18"/>
        <v>0</v>
      </c>
      <c r="G282" s="31"/>
      <c r="H282" s="27">
        <v>25000</v>
      </c>
      <c r="I282" s="6">
        <f t="shared" si="19"/>
        <v>25000</v>
      </c>
      <c r="L282" s="16"/>
      <c r="M282" s="16"/>
    </row>
    <row r="283" spans="1:9" ht="15">
      <c r="A283" s="15">
        <v>185</v>
      </c>
      <c r="B283" s="15">
        <v>23</v>
      </c>
      <c r="C283" s="32" t="s">
        <v>225</v>
      </c>
      <c r="D283" s="31"/>
      <c r="E283" s="27"/>
      <c r="F283" s="6">
        <f t="shared" si="18"/>
        <v>0</v>
      </c>
      <c r="G283" s="31">
        <v>300000</v>
      </c>
      <c r="H283" s="27"/>
      <c r="I283" s="6">
        <f t="shared" si="19"/>
        <v>300000</v>
      </c>
    </row>
    <row r="284" spans="1:9" ht="15.75" thickBot="1">
      <c r="A284" s="253" t="s">
        <v>42</v>
      </c>
      <c r="B284" s="254"/>
      <c r="C284" s="255"/>
      <c r="D284" s="33">
        <f>SUM(D261:D283)</f>
        <v>61955000</v>
      </c>
      <c r="E284" s="33">
        <f>SUM(E261:E283)</f>
        <v>682500</v>
      </c>
      <c r="F284" s="33">
        <f>SUM(D284:E284)</f>
        <v>62637500</v>
      </c>
      <c r="G284" s="33">
        <f>SUM(G261:G283)</f>
        <v>3732500</v>
      </c>
      <c r="H284" s="33">
        <f>SUM(H262:H283)</f>
        <v>1325000</v>
      </c>
      <c r="I284" s="33">
        <f>SUM(G284:H284)</f>
        <v>5057500</v>
      </c>
    </row>
    <row r="285" spans="1:13" ht="16.5" thickBot="1" thickTop="1">
      <c r="A285" s="237" t="s">
        <v>190</v>
      </c>
      <c r="B285" s="238"/>
      <c r="C285" s="238"/>
      <c r="D285" s="34">
        <f>D284+D259+D255+D252+D196+D171+D149+D127+D124+D121+D116+D105+D85+D76+D73</f>
        <v>187108448</v>
      </c>
      <c r="E285" s="34">
        <f>E284+E259+E255+E252+E196+E171+E149+E127+E124+E121+E116+E105+E85+E76+E73</f>
        <v>50990784</v>
      </c>
      <c r="F285" s="34">
        <f>SUM(D285:E285)</f>
        <v>238099232</v>
      </c>
      <c r="G285" s="34">
        <f>G284+G259+G255+G252+G196+G171+G149+G127+G124+G121+G116+G105+G85+G76+G73</f>
        <v>109285026</v>
      </c>
      <c r="H285" s="34">
        <f>H284+H259+H255+H252+H196+H171+H149+H127+H124+H121+H116+H105+H85+H76+H73</f>
        <v>43981527</v>
      </c>
      <c r="I285" s="34">
        <f>SUM(G285:H285)</f>
        <v>153266553</v>
      </c>
      <c r="K285" s="81"/>
      <c r="L285" s="82"/>
      <c r="M285" s="82"/>
    </row>
    <row r="286" spans="1:10" ht="15.75" thickTop="1">
      <c r="A286" s="35"/>
      <c r="B286" s="35"/>
      <c r="C286" s="35"/>
      <c r="D286" s="36"/>
      <c r="E286" s="36"/>
      <c r="F286" s="36"/>
      <c r="G286" s="36"/>
      <c r="H286" s="36"/>
      <c r="I286" s="36"/>
      <c r="J286" s="37"/>
    </row>
    <row r="287" spans="1:8" ht="15">
      <c r="A287" s="39"/>
      <c r="B287" s="39"/>
      <c r="C287" s="39"/>
      <c r="D287" s="38"/>
      <c r="E287" s="38"/>
      <c r="G287" s="38" t="s">
        <v>216</v>
      </c>
      <c r="H287" s="38"/>
    </row>
    <row r="288" spans="1:8" ht="15">
      <c r="A288" s="39"/>
      <c r="B288" s="39"/>
      <c r="C288" s="38" t="s">
        <v>199</v>
      </c>
      <c r="D288" s="38"/>
      <c r="E288" s="38"/>
      <c r="G288" s="240" t="s">
        <v>349</v>
      </c>
      <c r="H288" s="240"/>
    </row>
    <row r="289" spans="1:8" ht="15">
      <c r="A289" s="39"/>
      <c r="B289" s="39"/>
      <c r="C289" s="39"/>
      <c r="D289" s="39"/>
      <c r="E289" s="39"/>
      <c r="G289" s="39"/>
      <c r="H289" s="39"/>
    </row>
    <row r="290" spans="1:8" ht="15">
      <c r="A290" s="39"/>
      <c r="B290" s="61"/>
      <c r="C290" s="272" t="s">
        <v>866</v>
      </c>
      <c r="D290" s="39"/>
      <c r="E290" s="39"/>
      <c r="G290" s="270" t="s">
        <v>866</v>
      </c>
      <c r="H290" s="39"/>
    </row>
    <row r="291" spans="1:9" ht="15">
      <c r="A291" s="39"/>
      <c r="B291" s="61"/>
      <c r="C291" s="38" t="s">
        <v>269</v>
      </c>
      <c r="D291" s="62"/>
      <c r="E291" s="62"/>
      <c r="F291" s="240" t="s">
        <v>350</v>
      </c>
      <c r="G291" s="240"/>
      <c r="H291" s="240"/>
      <c r="I291" s="240"/>
    </row>
    <row r="292" spans="1:12" ht="15">
      <c r="A292" s="35"/>
      <c r="B292" s="35"/>
      <c r="C292" s="35"/>
      <c r="D292" s="36"/>
      <c r="E292" s="36"/>
      <c r="F292" s="36"/>
      <c r="G292" s="36"/>
      <c r="H292" s="36"/>
      <c r="I292" s="36"/>
      <c r="J292" s="37"/>
      <c r="L292" s="16"/>
    </row>
    <row r="293" spans="1:9" ht="15">
      <c r="A293" s="240" t="s">
        <v>191</v>
      </c>
      <c r="B293" s="240"/>
      <c r="C293" s="240"/>
      <c r="D293" s="240"/>
      <c r="E293" s="240"/>
      <c r="F293" s="240"/>
      <c r="G293" s="240"/>
      <c r="H293" s="240"/>
      <c r="I293" s="240"/>
    </row>
    <row r="294" spans="1:9" ht="15">
      <c r="A294" s="240" t="s">
        <v>205</v>
      </c>
      <c r="B294" s="240"/>
      <c r="C294" s="240"/>
      <c r="D294" s="240"/>
      <c r="E294" s="240"/>
      <c r="F294" s="240"/>
      <c r="G294" s="240"/>
      <c r="H294" s="240"/>
      <c r="I294" s="240"/>
    </row>
    <row r="295" spans="1:9" ht="15">
      <c r="A295" s="38" t="s">
        <v>192</v>
      </c>
      <c r="B295" s="72" t="s">
        <v>195</v>
      </c>
      <c r="C295" s="38"/>
      <c r="D295" s="38"/>
      <c r="E295" s="38"/>
      <c r="F295" s="38"/>
      <c r="G295" s="38"/>
      <c r="H295" s="38"/>
      <c r="I295" s="38"/>
    </row>
    <row r="296" spans="1:9" ht="15">
      <c r="A296" s="40"/>
      <c r="B296" s="243" t="s">
        <v>2</v>
      </c>
      <c r="C296" s="247" t="s">
        <v>193</v>
      </c>
      <c r="D296" s="248"/>
      <c r="E296" s="248"/>
      <c r="F296" s="248"/>
      <c r="G296" s="248"/>
      <c r="H296" s="249"/>
      <c r="I296" s="85" t="s">
        <v>42</v>
      </c>
    </row>
    <row r="297" spans="1:9" ht="15">
      <c r="A297" s="39"/>
      <c r="B297" s="244"/>
      <c r="C297" s="250"/>
      <c r="D297" s="251"/>
      <c r="E297" s="251"/>
      <c r="F297" s="251"/>
      <c r="G297" s="251"/>
      <c r="H297" s="252"/>
      <c r="I297" s="84" t="s">
        <v>194</v>
      </c>
    </row>
    <row r="298" spans="1:9" ht="15">
      <c r="A298" s="39"/>
      <c r="B298" s="41">
        <v>1</v>
      </c>
      <c r="C298" s="45" t="s">
        <v>867</v>
      </c>
      <c r="D298" s="42"/>
      <c r="E298" s="42"/>
      <c r="F298" s="68"/>
      <c r="G298" s="42"/>
      <c r="H298" s="43"/>
      <c r="I298" s="44"/>
    </row>
    <row r="299" spans="1:9" ht="15">
      <c r="A299" s="39"/>
      <c r="B299" s="41"/>
      <c r="C299" s="45" t="s">
        <v>206</v>
      </c>
      <c r="D299" s="42"/>
      <c r="E299" s="42"/>
      <c r="F299" s="63"/>
      <c r="G299" s="42"/>
      <c r="H299" s="43"/>
      <c r="I299" s="44">
        <v>1500000</v>
      </c>
    </row>
    <row r="300" spans="1:9" ht="15">
      <c r="A300" s="39"/>
      <c r="B300" s="41"/>
      <c r="C300" s="45" t="s">
        <v>207</v>
      </c>
      <c r="D300" s="42"/>
      <c r="E300" s="42"/>
      <c r="F300" s="63"/>
      <c r="G300" s="42"/>
      <c r="H300" s="43"/>
      <c r="I300" s="44">
        <v>1500000</v>
      </c>
    </row>
    <row r="301" spans="1:9" ht="15">
      <c r="A301" s="39"/>
      <c r="B301" s="41"/>
      <c r="C301" s="45" t="s">
        <v>208</v>
      </c>
      <c r="D301" s="42"/>
      <c r="E301" s="42"/>
      <c r="F301" s="63"/>
      <c r="G301" s="42"/>
      <c r="H301" s="43"/>
      <c r="I301" s="44">
        <v>1800000</v>
      </c>
    </row>
    <row r="302" spans="1:9" ht="15">
      <c r="A302" s="39"/>
      <c r="B302" s="41"/>
      <c r="C302" s="45" t="s">
        <v>209</v>
      </c>
      <c r="D302" s="42"/>
      <c r="E302" s="42"/>
      <c r="F302" s="63"/>
      <c r="G302" s="42"/>
      <c r="H302" s="43"/>
      <c r="I302" s="44">
        <v>3000000</v>
      </c>
    </row>
    <row r="303" spans="1:9" ht="15">
      <c r="A303" s="39"/>
      <c r="B303" s="41">
        <v>2</v>
      </c>
      <c r="C303" s="46" t="s">
        <v>868</v>
      </c>
      <c r="D303" s="47"/>
      <c r="E303" s="47"/>
      <c r="F303" s="63"/>
      <c r="G303" s="47"/>
      <c r="H303" s="48"/>
      <c r="I303" s="44"/>
    </row>
    <row r="304" spans="1:9" ht="15">
      <c r="A304" s="39"/>
      <c r="B304" s="41"/>
      <c r="C304" s="64" t="s">
        <v>210</v>
      </c>
      <c r="D304" s="49"/>
      <c r="E304" s="49"/>
      <c r="F304" s="63"/>
      <c r="G304" s="49"/>
      <c r="H304" s="50"/>
      <c r="I304" s="44">
        <v>3000000</v>
      </c>
    </row>
    <row r="305" spans="1:9" ht="15">
      <c r="A305" s="39"/>
      <c r="B305" s="41"/>
      <c r="C305" s="51" t="s">
        <v>207</v>
      </c>
      <c r="D305" s="52"/>
      <c r="E305" s="52"/>
      <c r="F305" s="63"/>
      <c r="G305" s="52"/>
      <c r="H305" s="53"/>
      <c r="I305" s="54">
        <v>1800000</v>
      </c>
    </row>
    <row r="306" spans="1:9" ht="15">
      <c r="A306" s="39"/>
      <c r="B306" s="41"/>
      <c r="C306" s="55" t="s">
        <v>208</v>
      </c>
      <c r="D306" s="52"/>
      <c r="E306" s="52"/>
      <c r="F306" s="63"/>
      <c r="G306" s="52"/>
      <c r="H306" s="53"/>
      <c r="I306" s="54">
        <v>3000000</v>
      </c>
    </row>
    <row r="307" spans="1:9" ht="15">
      <c r="A307" s="39"/>
      <c r="B307" s="41">
        <v>3</v>
      </c>
      <c r="C307" s="55" t="s">
        <v>257</v>
      </c>
      <c r="D307" s="52"/>
      <c r="E307" s="52"/>
      <c r="F307" s="63"/>
      <c r="G307" s="52"/>
      <c r="H307" s="53"/>
      <c r="I307" s="54"/>
    </row>
    <row r="308" spans="1:9" ht="15">
      <c r="A308" s="39"/>
      <c r="B308" s="41"/>
      <c r="C308" s="55" t="s">
        <v>258</v>
      </c>
      <c r="D308" s="52"/>
      <c r="E308" s="52"/>
      <c r="F308" s="63"/>
      <c r="G308" s="52"/>
      <c r="H308" s="53"/>
      <c r="I308" s="54">
        <v>1000000</v>
      </c>
    </row>
    <row r="309" spans="1:9" ht="15">
      <c r="A309" s="39"/>
      <c r="B309" s="41"/>
      <c r="C309" s="55" t="s">
        <v>259</v>
      </c>
      <c r="D309" s="52"/>
      <c r="E309" s="52"/>
      <c r="F309" s="63"/>
      <c r="G309" s="52"/>
      <c r="H309" s="53"/>
      <c r="I309" s="54">
        <v>600000</v>
      </c>
    </row>
    <row r="310" spans="1:9" ht="15">
      <c r="A310" s="39"/>
      <c r="B310" s="41"/>
      <c r="C310" s="55" t="s">
        <v>260</v>
      </c>
      <c r="D310" s="52"/>
      <c r="E310" s="52"/>
      <c r="F310" s="63"/>
      <c r="G310" s="52"/>
      <c r="H310" s="53"/>
      <c r="I310" s="54"/>
    </row>
    <row r="311" spans="1:9" ht="15">
      <c r="A311" s="39"/>
      <c r="B311" s="41"/>
      <c r="C311" s="55" t="s">
        <v>271</v>
      </c>
      <c r="D311" s="52"/>
      <c r="E311" s="52"/>
      <c r="F311" s="63"/>
      <c r="G311" s="52"/>
      <c r="H311" s="53"/>
      <c r="I311" s="54">
        <v>1000000</v>
      </c>
    </row>
    <row r="312" spans="1:9" ht="15">
      <c r="A312" s="39"/>
      <c r="B312" s="41">
        <v>4</v>
      </c>
      <c r="C312" s="55" t="s">
        <v>270</v>
      </c>
      <c r="D312" s="52"/>
      <c r="E312" s="52"/>
      <c r="F312" s="63"/>
      <c r="G312" s="52"/>
      <c r="H312" s="53"/>
      <c r="I312" s="54">
        <v>5000000</v>
      </c>
    </row>
    <row r="313" spans="1:9" ht="15">
      <c r="A313" s="39"/>
      <c r="B313" s="70">
        <v>5</v>
      </c>
      <c r="C313" s="51" t="s">
        <v>226</v>
      </c>
      <c r="D313" s="52"/>
      <c r="E313" s="52"/>
      <c r="F313" s="68"/>
      <c r="G313" s="76"/>
      <c r="H313" s="77"/>
      <c r="I313" s="54">
        <v>435000</v>
      </c>
    </row>
    <row r="314" spans="1:9" ht="15">
      <c r="A314" s="39"/>
      <c r="B314" s="70">
        <v>6</v>
      </c>
      <c r="C314" s="51" t="s">
        <v>227</v>
      </c>
      <c r="D314" s="52"/>
      <c r="E314" s="52"/>
      <c r="F314" s="68"/>
      <c r="G314" s="76"/>
      <c r="H314" s="77"/>
      <c r="I314" s="54">
        <v>1000000</v>
      </c>
    </row>
    <row r="315" spans="1:9" ht="15">
      <c r="A315" s="39"/>
      <c r="B315" s="70">
        <v>7</v>
      </c>
      <c r="C315" s="51" t="s">
        <v>228</v>
      </c>
      <c r="D315" s="52"/>
      <c r="E315" s="52"/>
      <c r="F315" s="68"/>
      <c r="G315" s="76"/>
      <c r="H315" s="77"/>
      <c r="I315" s="54">
        <v>400000</v>
      </c>
    </row>
    <row r="316" spans="1:9" ht="15">
      <c r="A316" s="56"/>
      <c r="B316" s="241" t="s">
        <v>5</v>
      </c>
      <c r="C316" s="245"/>
      <c r="D316" s="245"/>
      <c r="E316" s="245"/>
      <c r="F316" s="66"/>
      <c r="G316" s="66"/>
      <c r="H316" s="67"/>
      <c r="I316" s="57">
        <f>SUM(I298:I315)</f>
        <v>25035000</v>
      </c>
    </row>
    <row r="317" spans="1:9" ht="15">
      <c r="A317" s="58"/>
      <c r="B317" s="58"/>
      <c r="C317" s="58"/>
      <c r="D317" s="58"/>
      <c r="E317" s="58"/>
      <c r="F317" s="58"/>
      <c r="G317" s="73"/>
      <c r="H317" s="73"/>
      <c r="I317" s="58"/>
    </row>
    <row r="318" spans="1:9" ht="15">
      <c r="A318" s="74" t="s">
        <v>196</v>
      </c>
      <c r="B318" s="75" t="s">
        <v>197</v>
      </c>
      <c r="C318" s="75"/>
      <c r="D318" s="58"/>
      <c r="E318" s="58"/>
      <c r="F318" s="58"/>
      <c r="G318" s="58"/>
      <c r="H318" s="58"/>
      <c r="I318" s="58"/>
    </row>
    <row r="319" spans="1:9" ht="15">
      <c r="A319" s="40"/>
      <c r="B319" s="243" t="s">
        <v>2</v>
      </c>
      <c r="C319" s="248" t="s">
        <v>193</v>
      </c>
      <c r="D319" s="248"/>
      <c r="E319" s="248"/>
      <c r="F319" s="248"/>
      <c r="G319" s="248"/>
      <c r="H319" s="249"/>
      <c r="I319" s="85" t="s">
        <v>42</v>
      </c>
    </row>
    <row r="320" spans="1:9" ht="15">
      <c r="A320" s="58"/>
      <c r="B320" s="244"/>
      <c r="C320" s="251"/>
      <c r="D320" s="251"/>
      <c r="E320" s="251"/>
      <c r="F320" s="251"/>
      <c r="G320" s="251"/>
      <c r="H320" s="252"/>
      <c r="I320" s="84" t="s">
        <v>194</v>
      </c>
    </row>
    <row r="321" spans="1:9" ht="15">
      <c r="A321" s="58"/>
      <c r="B321" s="70">
        <v>1</v>
      </c>
      <c r="C321" s="45" t="s">
        <v>261</v>
      </c>
      <c r="D321" s="42"/>
      <c r="E321" s="42"/>
      <c r="F321" s="69"/>
      <c r="G321" s="42"/>
      <c r="H321" s="42"/>
      <c r="I321" s="59"/>
    </row>
    <row r="322" spans="1:9" ht="15">
      <c r="A322" s="58"/>
      <c r="B322" s="70"/>
      <c r="C322" s="45" t="s">
        <v>262</v>
      </c>
      <c r="D322" s="42"/>
      <c r="E322" s="42"/>
      <c r="F322" s="69"/>
      <c r="G322" s="42"/>
      <c r="H322" s="42"/>
      <c r="I322" s="59">
        <f>1467450</f>
        <v>1467450</v>
      </c>
    </row>
    <row r="323" spans="1:9" ht="15">
      <c r="A323" s="58"/>
      <c r="B323" s="70"/>
      <c r="C323" s="45" t="s">
        <v>263</v>
      </c>
      <c r="D323" s="42"/>
      <c r="E323" s="42"/>
      <c r="F323" s="69"/>
      <c r="G323" s="42"/>
      <c r="H323" s="42"/>
      <c r="I323" s="59">
        <v>6872700</v>
      </c>
    </row>
    <row r="324" spans="1:9" ht="15">
      <c r="A324" s="58"/>
      <c r="B324" s="70">
        <v>2</v>
      </c>
      <c r="C324" s="45" t="s">
        <v>264</v>
      </c>
      <c r="D324" s="42"/>
      <c r="E324" s="42"/>
      <c r="F324" s="69"/>
      <c r="G324" s="42"/>
      <c r="H324" s="42"/>
      <c r="I324" s="59"/>
    </row>
    <row r="325" spans="1:9" ht="15">
      <c r="A325" s="58"/>
      <c r="B325" s="70"/>
      <c r="C325" s="45" t="s">
        <v>265</v>
      </c>
      <c r="D325" s="42"/>
      <c r="E325" s="42"/>
      <c r="F325" s="69"/>
      <c r="G325" s="42"/>
      <c r="H325" s="42"/>
      <c r="I325" s="59">
        <v>500000</v>
      </c>
    </row>
    <row r="326" spans="1:9" ht="15">
      <c r="A326" s="58"/>
      <c r="B326" s="70"/>
      <c r="C326" s="45" t="s">
        <v>266</v>
      </c>
      <c r="D326" s="42"/>
      <c r="E326" s="42"/>
      <c r="F326" s="69"/>
      <c r="G326" s="42"/>
      <c r="H326" s="42"/>
      <c r="I326" s="59">
        <v>1000000</v>
      </c>
    </row>
    <row r="327" spans="1:9" ht="15">
      <c r="A327" s="58"/>
      <c r="B327" s="70"/>
      <c r="C327" s="45" t="s">
        <v>267</v>
      </c>
      <c r="D327" s="60"/>
      <c r="E327" s="60"/>
      <c r="F327" s="69"/>
      <c r="G327" s="60"/>
      <c r="H327" s="60"/>
      <c r="I327" s="59">
        <v>1000000</v>
      </c>
    </row>
    <row r="328" spans="1:9" ht="15">
      <c r="A328" s="58"/>
      <c r="B328" s="70">
        <v>3</v>
      </c>
      <c r="C328" s="45" t="s">
        <v>211</v>
      </c>
      <c r="D328" s="60"/>
      <c r="E328" s="60"/>
      <c r="F328" s="69"/>
      <c r="G328" s="60"/>
      <c r="H328" s="60"/>
      <c r="I328" s="59">
        <v>2000000</v>
      </c>
    </row>
    <row r="329" spans="1:9" ht="15">
      <c r="A329" s="58"/>
      <c r="B329" s="70">
        <v>4</v>
      </c>
      <c r="C329" s="45" t="s">
        <v>212</v>
      </c>
      <c r="D329" s="60"/>
      <c r="E329" s="60"/>
      <c r="F329" s="69"/>
      <c r="G329" s="60"/>
      <c r="H329" s="60"/>
      <c r="I329" s="59">
        <v>200000</v>
      </c>
    </row>
    <row r="330" spans="1:9" ht="15">
      <c r="A330" s="58"/>
      <c r="B330" s="70">
        <v>5</v>
      </c>
      <c r="C330" s="45" t="s">
        <v>213</v>
      </c>
      <c r="D330" s="60"/>
      <c r="E330" s="60"/>
      <c r="F330" s="69"/>
      <c r="G330" s="60"/>
      <c r="H330" s="60"/>
      <c r="I330" s="59">
        <v>1500000</v>
      </c>
    </row>
    <row r="331" spans="1:9" ht="15">
      <c r="A331" s="58"/>
      <c r="B331" s="70">
        <v>6</v>
      </c>
      <c r="C331" s="45" t="s">
        <v>214</v>
      </c>
      <c r="D331" s="60"/>
      <c r="E331" s="60"/>
      <c r="F331" s="69"/>
      <c r="G331" s="60"/>
      <c r="H331" s="60"/>
      <c r="I331" s="59">
        <v>1175000</v>
      </c>
    </row>
    <row r="332" spans="1:9" ht="15">
      <c r="A332" s="58"/>
      <c r="B332" s="70">
        <v>7</v>
      </c>
      <c r="C332" s="45" t="s">
        <v>215</v>
      </c>
      <c r="D332" s="60"/>
      <c r="E332" s="60"/>
      <c r="F332" s="69"/>
      <c r="G332" s="60"/>
      <c r="H332" s="60"/>
      <c r="I332" s="59">
        <v>1000000</v>
      </c>
    </row>
    <row r="333" spans="1:9" ht="15">
      <c r="A333" s="58"/>
      <c r="B333" s="70">
        <v>8</v>
      </c>
      <c r="C333" s="46" t="s">
        <v>232</v>
      </c>
      <c r="D333" s="60"/>
      <c r="E333" s="60"/>
      <c r="F333" s="69"/>
      <c r="G333" s="60"/>
      <c r="H333" s="60"/>
      <c r="I333" s="59">
        <f>269000</f>
        <v>269000</v>
      </c>
    </row>
    <row r="334" spans="1:9" ht="15">
      <c r="A334" s="56"/>
      <c r="B334" s="241" t="s">
        <v>5</v>
      </c>
      <c r="C334" s="242"/>
      <c r="D334" s="242"/>
      <c r="E334" s="242"/>
      <c r="F334" s="65"/>
      <c r="G334" s="65"/>
      <c r="H334" s="71"/>
      <c r="I334" s="57">
        <f>SUM(I321:I333)</f>
        <v>16984150</v>
      </c>
    </row>
    <row r="335" spans="1:9" ht="15">
      <c r="A335" s="39"/>
      <c r="B335" s="39"/>
      <c r="C335" s="39"/>
      <c r="D335" s="39"/>
      <c r="E335" s="39"/>
      <c r="F335" s="39" t="s">
        <v>198</v>
      </c>
      <c r="G335" s="39"/>
      <c r="H335" s="39"/>
      <c r="I335" s="39" t="s">
        <v>198</v>
      </c>
    </row>
    <row r="336" spans="1:8" ht="15">
      <c r="A336" s="39"/>
      <c r="B336" s="39"/>
      <c r="C336" s="39"/>
      <c r="D336" s="38"/>
      <c r="E336" s="38"/>
      <c r="G336" s="38" t="s">
        <v>216</v>
      </c>
      <c r="H336" s="38"/>
    </row>
    <row r="337" spans="1:8" ht="15">
      <c r="A337" s="39"/>
      <c r="B337" s="39"/>
      <c r="C337" s="38" t="s">
        <v>199</v>
      </c>
      <c r="D337" s="38"/>
      <c r="E337" s="38"/>
      <c r="G337" s="240" t="s">
        <v>268</v>
      </c>
      <c r="H337" s="240"/>
    </row>
    <row r="338" spans="1:8" ht="15">
      <c r="A338" s="39"/>
      <c r="B338" s="39"/>
      <c r="C338" s="39"/>
      <c r="D338" s="39"/>
      <c r="E338" s="39"/>
      <c r="G338" s="39"/>
      <c r="H338" s="39"/>
    </row>
    <row r="339" spans="1:8" ht="15">
      <c r="A339" s="39"/>
      <c r="B339" s="61"/>
      <c r="C339" s="272" t="s">
        <v>866</v>
      </c>
      <c r="D339" s="39"/>
      <c r="E339" s="39"/>
      <c r="G339" s="270" t="s">
        <v>866</v>
      </c>
      <c r="H339" s="39"/>
    </row>
    <row r="340" spans="1:9" ht="15">
      <c r="A340" s="39"/>
      <c r="B340" s="61"/>
      <c r="C340" s="38" t="s">
        <v>269</v>
      </c>
      <c r="D340" s="62"/>
      <c r="E340" s="62"/>
      <c r="F340" s="240" t="s">
        <v>351</v>
      </c>
      <c r="G340" s="240"/>
      <c r="H340" s="240"/>
      <c r="I340" s="240"/>
    </row>
  </sheetData>
  <sheetProtection/>
  <mergeCells count="72">
    <mergeCell ref="E55:F55"/>
    <mergeCell ref="E24:F24"/>
    <mergeCell ref="B25:B26"/>
    <mergeCell ref="C25:C26"/>
    <mergeCell ref="D25:D26"/>
    <mergeCell ref="E25:E26"/>
    <mergeCell ref="E52:F52"/>
    <mergeCell ref="F25:F26"/>
    <mergeCell ref="E54:F54"/>
    <mergeCell ref="A1:F1"/>
    <mergeCell ref="A2:F2"/>
    <mergeCell ref="A3:F3"/>
    <mergeCell ref="A4:F4"/>
    <mergeCell ref="A5:F5"/>
    <mergeCell ref="E7:F7"/>
    <mergeCell ref="A8:B8"/>
    <mergeCell ref="A9:B9"/>
    <mergeCell ref="A10:B10"/>
    <mergeCell ref="C296:H297"/>
    <mergeCell ref="C319:H320"/>
    <mergeCell ref="G288:H288"/>
    <mergeCell ref="F291:I291"/>
    <mergeCell ref="A196:C196"/>
    <mergeCell ref="A117:I117"/>
    <mergeCell ref="A284:C284"/>
    <mergeCell ref="G337:H337"/>
    <mergeCell ref="F340:I340"/>
    <mergeCell ref="A293:I293"/>
    <mergeCell ref="B334:E334"/>
    <mergeCell ref="B296:B297"/>
    <mergeCell ref="B316:E316"/>
    <mergeCell ref="B319:B320"/>
    <mergeCell ref="A294:I294"/>
    <mergeCell ref="A285:C285"/>
    <mergeCell ref="A252:C252"/>
    <mergeCell ref="A253:I253"/>
    <mergeCell ref="A255:C255"/>
    <mergeCell ref="A256:I256"/>
    <mergeCell ref="A259:C259"/>
    <mergeCell ref="A260:I260"/>
    <mergeCell ref="A127:C127"/>
    <mergeCell ref="A128:I128"/>
    <mergeCell ref="A149:C149"/>
    <mergeCell ref="A150:I150"/>
    <mergeCell ref="A171:C171"/>
    <mergeCell ref="A172:I172"/>
    <mergeCell ref="A85:C85"/>
    <mergeCell ref="A86:I86"/>
    <mergeCell ref="A105:C105"/>
    <mergeCell ref="A106:I106"/>
    <mergeCell ref="A116:C116"/>
    <mergeCell ref="A197:I197"/>
    <mergeCell ref="A121:C121"/>
    <mergeCell ref="A122:I122"/>
    <mergeCell ref="A124:C124"/>
    <mergeCell ref="A125:I125"/>
    <mergeCell ref="A77:I77"/>
    <mergeCell ref="A73:C73"/>
    <mergeCell ref="A74:I74"/>
    <mergeCell ref="A76:C76"/>
    <mergeCell ref="G68:H68"/>
    <mergeCell ref="A70:I70"/>
    <mergeCell ref="A63:I63"/>
    <mergeCell ref="A64:I64"/>
    <mergeCell ref="A65:I65"/>
    <mergeCell ref="A67:A69"/>
    <mergeCell ref="B67:C69"/>
    <mergeCell ref="D67:E67"/>
    <mergeCell ref="F67:F69"/>
    <mergeCell ref="G67:H67"/>
    <mergeCell ref="I67:I69"/>
    <mergeCell ref="D68:E68"/>
  </mergeCells>
  <printOptions horizontalCentered="1"/>
  <pageMargins left="0.1968503937007874" right="0.1968503937007874" top="0.3937007874015748" bottom="1.5748031496062993" header="0.2362204724409449" footer="0.31496062992125984"/>
  <pageSetup orientation="portrait" paperSize="5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6"/>
  <sheetViews>
    <sheetView zoomScalePageLayoutView="0" workbookViewId="0" topLeftCell="A208">
      <selection activeCell="B13" sqref="B13:B18"/>
    </sheetView>
  </sheetViews>
  <sheetFormatPr defaultColWidth="11.00390625" defaultRowHeight="15"/>
  <cols>
    <col min="1" max="1" width="5.140625" style="0" bestFit="1" customWidth="1"/>
    <col min="2" max="2" width="4.28125" style="0" bestFit="1" customWidth="1"/>
    <col min="3" max="3" width="34.140625" style="0" customWidth="1"/>
    <col min="4" max="4" width="18.7109375" style="0" customWidth="1"/>
    <col min="5" max="6" width="20.7109375" style="0" customWidth="1"/>
    <col min="7" max="8" width="15.7109375" style="0" customWidth="1"/>
    <col min="9" max="9" width="16.7109375" style="0" customWidth="1"/>
    <col min="10" max="10" width="14.7109375" style="0" customWidth="1"/>
    <col min="11" max="11" width="14.0039062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837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838</v>
      </c>
      <c r="F7" s="259"/>
    </row>
    <row r="8" spans="1:6" ht="18.75">
      <c r="A8" s="246" t="s">
        <v>748</v>
      </c>
      <c r="B8" s="246"/>
      <c r="C8" s="136" t="s">
        <v>839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 t="s">
        <v>840</v>
      </c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200"/>
      <c r="F20" s="200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869</v>
      </c>
      <c r="C22" s="135"/>
      <c r="D22" s="135"/>
      <c r="E22" s="135"/>
      <c r="F22" s="137"/>
    </row>
    <row r="23" spans="2:6" ht="18.75">
      <c r="B23" s="135" t="s">
        <v>841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842</v>
      </c>
      <c r="D29" s="147"/>
      <c r="E29" s="147"/>
      <c r="F29" s="148">
        <f>'[1]September'!F28</f>
        <v>1438033668</v>
      </c>
    </row>
    <row r="30" spans="1:6" ht="18.75">
      <c r="A30" s="140"/>
      <c r="B30" s="145"/>
      <c r="C30" s="146" t="s">
        <v>843</v>
      </c>
      <c r="D30" s="200">
        <v>126003824</v>
      </c>
      <c r="E30" s="150"/>
      <c r="F30" s="147"/>
    </row>
    <row r="31" spans="1:6" ht="18.75">
      <c r="A31" s="140"/>
      <c r="B31" s="145"/>
      <c r="C31" s="146" t="s">
        <v>844</v>
      </c>
      <c r="D31" s="147"/>
      <c r="E31" s="202">
        <v>244331615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1319705877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842</v>
      </c>
      <c r="D34" s="157"/>
      <c r="E34" s="158"/>
      <c r="F34" s="157">
        <f>'[1]September'!F33</f>
        <v>2675000</v>
      </c>
    </row>
    <row r="35" spans="1:6" ht="18.75">
      <c r="A35" s="140"/>
      <c r="B35" s="145"/>
      <c r="C35" s="146" t="s">
        <v>843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844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126003824</v>
      </c>
      <c r="E38" s="160">
        <f>E31+E36</f>
        <v>244331615</v>
      </c>
      <c r="F38" s="161">
        <f>F32+F37</f>
        <v>1322380877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842</v>
      </c>
      <c r="D41" s="147"/>
      <c r="E41" s="166"/>
      <c r="F41" s="160">
        <f>'[1]September'!F40</f>
        <v>1394688442</v>
      </c>
    </row>
    <row r="42" spans="1:6" ht="18.75">
      <c r="A42" s="167"/>
      <c r="B42" s="145"/>
      <c r="C42" s="146" t="s">
        <v>843</v>
      </c>
      <c r="D42" s="200">
        <v>63706027</v>
      </c>
      <c r="E42" s="168"/>
      <c r="F42" s="166"/>
    </row>
    <row r="43" spans="1:6" ht="18.75">
      <c r="A43" s="140"/>
      <c r="B43" s="145"/>
      <c r="C43" s="146" t="s">
        <v>844</v>
      </c>
      <c r="D43" s="150"/>
      <c r="E43" s="169">
        <v>104973463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1353421006</v>
      </c>
    </row>
    <row r="45" spans="1:6" ht="18.75">
      <c r="A45" s="140"/>
      <c r="B45" s="145"/>
      <c r="C45" s="171" t="s">
        <v>845</v>
      </c>
      <c r="D45" s="172">
        <f>D30+D42</f>
        <v>189709851</v>
      </c>
      <c r="E45" s="172">
        <f>E31+E43</f>
        <v>349305078</v>
      </c>
      <c r="F45" s="173">
        <f>F38+F44</f>
        <v>2675801883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97"/>
    </row>
    <row r="49" spans="1:6" ht="18.75">
      <c r="A49" s="175"/>
      <c r="B49" s="176" t="s">
        <v>773</v>
      </c>
      <c r="C49" s="137"/>
      <c r="D49" s="177"/>
      <c r="E49" s="137"/>
      <c r="F49" s="197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2" spans="1:9" ht="22.5">
      <c r="A62" s="206" t="s">
        <v>0</v>
      </c>
      <c r="B62" s="206"/>
      <c r="C62" s="206"/>
      <c r="D62" s="206"/>
      <c r="E62" s="206"/>
      <c r="F62" s="206"/>
      <c r="G62" s="206"/>
      <c r="H62" s="206"/>
      <c r="I62" s="206"/>
    </row>
    <row r="63" spans="1:9" ht="22.5">
      <c r="A63" s="206" t="s">
        <v>1</v>
      </c>
      <c r="B63" s="206"/>
      <c r="C63" s="206"/>
      <c r="D63" s="206"/>
      <c r="E63" s="206"/>
      <c r="F63" s="206"/>
      <c r="G63" s="206"/>
      <c r="H63" s="206"/>
      <c r="I63" s="206"/>
    </row>
    <row r="64" spans="1:9" ht="20.25">
      <c r="A64" s="207" t="s">
        <v>613</v>
      </c>
      <c r="B64" s="207"/>
      <c r="C64" s="207"/>
      <c r="D64" s="207"/>
      <c r="E64" s="207"/>
      <c r="F64" s="207"/>
      <c r="G64" s="207"/>
      <c r="H64" s="207"/>
      <c r="I64" s="207"/>
    </row>
    <row r="65" spans="1:9" ht="15.75" thickBot="1">
      <c r="A65" s="1"/>
      <c r="B65" s="1"/>
      <c r="C65" s="1"/>
      <c r="D65" s="1"/>
      <c r="E65" s="1"/>
      <c r="F65" s="1"/>
      <c r="G65" s="1"/>
      <c r="H65" s="1"/>
      <c r="I65" s="1"/>
    </row>
    <row r="66" spans="1:9" ht="15.75" thickTop="1">
      <c r="A66" s="208" t="s">
        <v>2</v>
      </c>
      <c r="B66" s="211" t="s">
        <v>3</v>
      </c>
      <c r="C66" s="267"/>
      <c r="D66" s="217" t="s">
        <v>4</v>
      </c>
      <c r="E66" s="218"/>
      <c r="F66" s="219" t="s">
        <v>5</v>
      </c>
      <c r="G66" s="217" t="s">
        <v>4</v>
      </c>
      <c r="H66" s="218"/>
      <c r="I66" s="219" t="s">
        <v>5</v>
      </c>
    </row>
    <row r="67" spans="1:9" ht="15">
      <c r="A67" s="209"/>
      <c r="B67" s="213"/>
      <c r="C67" s="268"/>
      <c r="D67" s="222" t="s">
        <v>570</v>
      </c>
      <c r="E67" s="223"/>
      <c r="F67" s="220"/>
      <c r="G67" s="222" t="s">
        <v>614</v>
      </c>
      <c r="H67" s="223"/>
      <c r="I67" s="220"/>
    </row>
    <row r="68" spans="1:12" ht="15">
      <c r="A68" s="210"/>
      <c r="B68" s="215"/>
      <c r="C68" s="269"/>
      <c r="D68" s="2" t="s">
        <v>6</v>
      </c>
      <c r="E68" s="2" t="s">
        <v>7</v>
      </c>
      <c r="F68" s="221"/>
      <c r="G68" s="2" t="s">
        <v>6</v>
      </c>
      <c r="H68" s="2" t="s">
        <v>7</v>
      </c>
      <c r="I68" s="221"/>
      <c r="L68" t="s">
        <v>198</v>
      </c>
    </row>
    <row r="69" spans="1:9" ht="15">
      <c r="A69" s="230" t="s">
        <v>8</v>
      </c>
      <c r="B69" s="231"/>
      <c r="C69" s="231"/>
      <c r="D69" s="231"/>
      <c r="E69" s="231"/>
      <c r="F69" s="231"/>
      <c r="G69" s="231"/>
      <c r="H69" s="231"/>
      <c r="I69" s="232"/>
    </row>
    <row r="70" spans="1:9" ht="15">
      <c r="A70" s="80">
        <v>1</v>
      </c>
      <c r="B70" s="3">
        <v>1</v>
      </c>
      <c r="C70" s="4" t="s">
        <v>9</v>
      </c>
      <c r="D70" s="5"/>
      <c r="E70" s="5">
        <v>5000000</v>
      </c>
      <c r="F70" s="6">
        <f>SUM(D70:E70)</f>
        <v>5000000</v>
      </c>
      <c r="G70" s="5"/>
      <c r="H70" s="5">
        <v>5000000</v>
      </c>
      <c r="I70" s="6">
        <f>SUM(G70:H70)</f>
        <v>5000000</v>
      </c>
    </row>
    <row r="71" spans="1:9" ht="15">
      <c r="A71" s="80">
        <v>2</v>
      </c>
      <c r="B71" s="3">
        <v>2</v>
      </c>
      <c r="C71" s="4" t="s">
        <v>10</v>
      </c>
      <c r="D71" s="5"/>
      <c r="E71" s="5"/>
      <c r="F71" s="6">
        <f>SUM(D71:E71)</f>
        <v>0</v>
      </c>
      <c r="G71" s="5"/>
      <c r="H71" s="5"/>
      <c r="I71" s="6">
        <f>SUM(G71:H71)</f>
        <v>0</v>
      </c>
    </row>
    <row r="72" spans="1:9" ht="15">
      <c r="A72" s="224" t="s">
        <v>5</v>
      </c>
      <c r="B72" s="225"/>
      <c r="C72" s="225"/>
      <c r="D72" s="7">
        <f>SUM(D70:D71)</f>
        <v>0</v>
      </c>
      <c r="E72" s="8">
        <f>SUM(E70:E71)</f>
        <v>5000000</v>
      </c>
      <c r="F72" s="7">
        <f>SUM(D72:E72)</f>
        <v>5000000</v>
      </c>
      <c r="G72" s="7">
        <f>SUM(G70:G71)</f>
        <v>0</v>
      </c>
      <c r="H72" s="8">
        <f>SUM(H70:H71)</f>
        <v>5000000</v>
      </c>
      <c r="I72" s="7">
        <f>SUM(G72:H72)</f>
        <v>5000000</v>
      </c>
    </row>
    <row r="73" spans="1:9" ht="15">
      <c r="A73" s="224" t="s">
        <v>564</v>
      </c>
      <c r="B73" s="225"/>
      <c r="C73" s="225"/>
      <c r="D73" s="225"/>
      <c r="E73" s="225"/>
      <c r="F73" s="225"/>
      <c r="G73" s="225"/>
      <c r="H73" s="225"/>
      <c r="I73" s="226"/>
    </row>
    <row r="74" spans="1:9" ht="15">
      <c r="A74" s="111">
        <v>3</v>
      </c>
      <c r="B74" s="111">
        <v>1</v>
      </c>
      <c r="C74" s="22" t="s">
        <v>565</v>
      </c>
      <c r="D74" s="5"/>
      <c r="E74" s="14"/>
      <c r="F74" s="5">
        <f>SUM(D74:E74)</f>
        <v>0</v>
      </c>
      <c r="G74" s="5"/>
      <c r="H74" s="14"/>
      <c r="I74" s="5">
        <f>SUM(G74:H74)</f>
        <v>0</v>
      </c>
    </row>
    <row r="75" spans="1:9" ht="15">
      <c r="A75" s="239" t="s">
        <v>5</v>
      </c>
      <c r="B75" s="239"/>
      <c r="C75" s="239"/>
      <c r="D75" s="7">
        <f aca="true" t="shared" si="0" ref="D75:I75">SUM(D74)</f>
        <v>0</v>
      </c>
      <c r="E75" s="7">
        <f t="shared" si="0"/>
        <v>0</v>
      </c>
      <c r="F75" s="7">
        <f t="shared" si="0"/>
        <v>0</v>
      </c>
      <c r="G75" s="7">
        <f t="shared" si="0"/>
        <v>0</v>
      </c>
      <c r="H75" s="7">
        <f t="shared" si="0"/>
        <v>0</v>
      </c>
      <c r="I75" s="7">
        <f t="shared" si="0"/>
        <v>0</v>
      </c>
    </row>
    <row r="76" spans="1:9" ht="15">
      <c r="A76" s="227" t="s">
        <v>11</v>
      </c>
      <c r="B76" s="228"/>
      <c r="C76" s="228"/>
      <c r="D76" s="228"/>
      <c r="E76" s="228"/>
      <c r="F76" s="228"/>
      <c r="G76" s="228"/>
      <c r="H76" s="228"/>
      <c r="I76" s="229"/>
    </row>
    <row r="77" spans="1:9" ht="15">
      <c r="A77" s="9">
        <v>4</v>
      </c>
      <c r="B77" s="9">
        <v>1</v>
      </c>
      <c r="C77" s="10" t="s">
        <v>12</v>
      </c>
      <c r="D77" s="5">
        <f>2214199+2080214</f>
        <v>4294413</v>
      </c>
      <c r="E77" s="5"/>
      <c r="F77" s="6">
        <f>SUM(D77:E77)</f>
        <v>4294413</v>
      </c>
      <c r="G77" s="5">
        <v>2308349</v>
      </c>
      <c r="H77" s="5"/>
      <c r="I77" s="6">
        <f>SUM(G77:H77)</f>
        <v>2308349</v>
      </c>
    </row>
    <row r="78" spans="1:9" ht="15">
      <c r="A78" s="224" t="s">
        <v>5</v>
      </c>
      <c r="B78" s="225"/>
      <c r="C78" s="225"/>
      <c r="D78" s="7">
        <f>SUM(D76:D77)</f>
        <v>4294413</v>
      </c>
      <c r="E78" s="8">
        <f>SUM(E76:E77)</f>
        <v>0</v>
      </c>
      <c r="F78" s="7">
        <f>SUM(D78:E78)</f>
        <v>4294413</v>
      </c>
      <c r="G78" s="7">
        <f>SUM(G76:G77)</f>
        <v>2308349</v>
      </c>
      <c r="H78" s="8">
        <f>SUM(H76:H77)</f>
        <v>0</v>
      </c>
      <c r="I78" s="7">
        <f>SUM(G78:H78)</f>
        <v>2308349</v>
      </c>
    </row>
    <row r="79" spans="1:9" ht="15">
      <c r="A79" s="224" t="s">
        <v>13</v>
      </c>
      <c r="B79" s="225"/>
      <c r="C79" s="225"/>
      <c r="D79" s="225"/>
      <c r="E79" s="225"/>
      <c r="F79" s="225"/>
      <c r="G79" s="225"/>
      <c r="H79" s="225"/>
      <c r="I79" s="226"/>
    </row>
    <row r="80" spans="1:9" ht="15">
      <c r="A80" s="11">
        <v>5</v>
      </c>
      <c r="B80" s="12">
        <v>1</v>
      </c>
      <c r="C80" s="95" t="s">
        <v>312</v>
      </c>
      <c r="D80" s="5">
        <v>2345000</v>
      </c>
      <c r="E80" s="5">
        <v>509000</v>
      </c>
      <c r="F80" s="6">
        <f aca="true" t="shared" si="1" ref="F80:F88">SUM(D80:E80)</f>
        <v>2854000</v>
      </c>
      <c r="G80" s="5">
        <v>2250000</v>
      </c>
      <c r="H80" s="5">
        <v>579000</v>
      </c>
      <c r="I80" s="6">
        <f aca="true" t="shared" si="2" ref="I80:I87">SUM(G80:H80)</f>
        <v>2829000</v>
      </c>
    </row>
    <row r="81" spans="1:9" ht="15">
      <c r="A81" s="11">
        <v>6</v>
      </c>
      <c r="B81" s="12">
        <v>2</v>
      </c>
      <c r="C81" s="13" t="s">
        <v>234</v>
      </c>
      <c r="D81" s="5">
        <v>1736784</v>
      </c>
      <c r="E81" s="5">
        <v>215550</v>
      </c>
      <c r="F81" s="6">
        <f t="shared" si="1"/>
        <v>1952334</v>
      </c>
      <c r="G81" s="5">
        <v>1600558</v>
      </c>
      <c r="H81" s="5">
        <v>204550</v>
      </c>
      <c r="I81" s="6">
        <f t="shared" si="2"/>
        <v>1805108</v>
      </c>
    </row>
    <row r="82" spans="1:9" ht="15">
      <c r="A82" s="11">
        <v>7</v>
      </c>
      <c r="B82" s="12">
        <v>3</v>
      </c>
      <c r="C82" s="13" t="s">
        <v>15</v>
      </c>
      <c r="D82" s="5">
        <v>2538450</v>
      </c>
      <c r="E82" s="14">
        <v>112100</v>
      </c>
      <c r="F82" s="6">
        <f t="shared" si="1"/>
        <v>2650550</v>
      </c>
      <c r="G82" s="5">
        <v>2455350</v>
      </c>
      <c r="H82" s="14">
        <v>107000</v>
      </c>
      <c r="I82" s="6">
        <f t="shared" si="2"/>
        <v>2562350</v>
      </c>
    </row>
    <row r="83" spans="1:9" ht="15">
      <c r="A83" s="11">
        <v>8</v>
      </c>
      <c r="B83" s="12">
        <v>4</v>
      </c>
      <c r="C83" s="13" t="s">
        <v>16</v>
      </c>
      <c r="D83" s="5"/>
      <c r="E83" s="5"/>
      <c r="F83" s="6">
        <f t="shared" si="1"/>
        <v>0</v>
      </c>
      <c r="G83" s="5"/>
      <c r="H83" s="5"/>
      <c r="I83" s="6">
        <f t="shared" si="2"/>
        <v>0</v>
      </c>
    </row>
    <row r="84" spans="1:9" ht="15">
      <c r="A84" s="11">
        <v>9</v>
      </c>
      <c r="B84" s="12">
        <v>5</v>
      </c>
      <c r="C84" s="13" t="s">
        <v>17</v>
      </c>
      <c r="D84" s="5"/>
      <c r="E84" s="5"/>
      <c r="F84" s="6">
        <f t="shared" si="1"/>
        <v>0</v>
      </c>
      <c r="G84" s="5"/>
      <c r="H84" s="5"/>
      <c r="I84" s="6">
        <f t="shared" si="2"/>
        <v>0</v>
      </c>
    </row>
    <row r="85" spans="1:9" ht="15">
      <c r="A85" s="11">
        <v>10</v>
      </c>
      <c r="B85" s="12">
        <v>6</v>
      </c>
      <c r="C85" s="13" t="s">
        <v>18</v>
      </c>
      <c r="D85" s="5"/>
      <c r="E85" s="5"/>
      <c r="F85" s="6">
        <f t="shared" si="1"/>
        <v>0</v>
      </c>
      <c r="G85" s="5"/>
      <c r="H85" s="5"/>
      <c r="I85" s="6">
        <f t="shared" si="2"/>
        <v>0</v>
      </c>
    </row>
    <row r="86" spans="1:9" ht="15">
      <c r="A86" s="11">
        <v>11</v>
      </c>
      <c r="B86" s="12">
        <v>7</v>
      </c>
      <c r="C86" s="15" t="s">
        <v>19</v>
      </c>
      <c r="D86" s="5">
        <v>209135</v>
      </c>
      <c r="E86" s="5">
        <v>58000</v>
      </c>
      <c r="F86" s="6">
        <f t="shared" si="1"/>
        <v>267135</v>
      </c>
      <c r="G86" s="5">
        <v>209135</v>
      </c>
      <c r="H86" s="5">
        <v>58000</v>
      </c>
      <c r="I86" s="6">
        <f t="shared" si="2"/>
        <v>267135</v>
      </c>
    </row>
    <row r="87" spans="1:9" ht="15">
      <c r="A87" s="11">
        <v>12</v>
      </c>
      <c r="B87" s="12">
        <v>8</v>
      </c>
      <c r="C87" s="13" t="s">
        <v>307</v>
      </c>
      <c r="D87" s="5">
        <v>2488089</v>
      </c>
      <c r="E87" s="5">
        <v>330000</v>
      </c>
      <c r="F87" s="6">
        <f t="shared" si="1"/>
        <v>2818089</v>
      </c>
      <c r="G87" s="5">
        <v>2488089</v>
      </c>
      <c r="H87" s="5">
        <v>330000</v>
      </c>
      <c r="I87" s="6">
        <f t="shared" si="2"/>
        <v>2818089</v>
      </c>
    </row>
    <row r="88" spans="1:11" ht="15">
      <c r="A88" s="224" t="s">
        <v>5</v>
      </c>
      <c r="B88" s="225"/>
      <c r="C88" s="225"/>
      <c r="D88" s="7">
        <f>SUM(D80:D87)</f>
        <v>9317458</v>
      </c>
      <c r="E88" s="7">
        <f>SUM(E80:E87)</f>
        <v>1224650</v>
      </c>
      <c r="F88" s="7">
        <f t="shared" si="1"/>
        <v>10542108</v>
      </c>
      <c r="G88" s="7">
        <f>SUM(G80:G87)</f>
        <v>9003132</v>
      </c>
      <c r="H88" s="7">
        <f>SUM(H80:H87)</f>
        <v>1278550</v>
      </c>
      <c r="I88" s="7">
        <f>SUM(G88:H88)</f>
        <v>10281682</v>
      </c>
      <c r="K88" s="16"/>
    </row>
    <row r="89" spans="1:9" ht="15">
      <c r="A89" s="224" t="s">
        <v>20</v>
      </c>
      <c r="B89" s="225"/>
      <c r="C89" s="225"/>
      <c r="D89" s="225"/>
      <c r="E89" s="225"/>
      <c r="F89" s="225"/>
      <c r="G89" s="225"/>
      <c r="H89" s="225"/>
      <c r="I89" s="226"/>
    </row>
    <row r="90" spans="1:9" ht="15">
      <c r="A90" s="17">
        <v>13</v>
      </c>
      <c r="B90" s="15">
        <v>1</v>
      </c>
      <c r="C90" s="13" t="s">
        <v>255</v>
      </c>
      <c r="D90" s="5">
        <v>2271675</v>
      </c>
      <c r="E90" s="18">
        <v>1295215</v>
      </c>
      <c r="F90" s="6">
        <f aca="true" t="shared" si="3" ref="F90:F110">SUM(D90:E90)</f>
        <v>3566890</v>
      </c>
      <c r="G90" s="5">
        <v>2271675</v>
      </c>
      <c r="H90" s="18">
        <v>1274215</v>
      </c>
      <c r="I90" s="6">
        <f aca="true" t="shared" si="4" ref="I90:I111">SUM(G90:H90)</f>
        <v>3545890</v>
      </c>
    </row>
    <row r="91" spans="1:9" ht="15">
      <c r="A91" s="17">
        <v>14</v>
      </c>
      <c r="B91" s="15">
        <v>2</v>
      </c>
      <c r="C91" s="13" t="s">
        <v>21</v>
      </c>
      <c r="D91" s="5">
        <v>3820545</v>
      </c>
      <c r="E91" s="5">
        <v>5675000</v>
      </c>
      <c r="F91" s="6">
        <f t="shared" si="3"/>
        <v>9495545</v>
      </c>
      <c r="G91" s="5">
        <v>3820545</v>
      </c>
      <c r="H91" s="5">
        <v>5670000</v>
      </c>
      <c r="I91" s="6">
        <f t="shared" si="4"/>
        <v>9490545</v>
      </c>
    </row>
    <row r="92" spans="1:9" ht="15">
      <c r="A92" s="17">
        <v>15</v>
      </c>
      <c r="B92" s="15">
        <v>3</v>
      </c>
      <c r="C92" s="13" t="s">
        <v>314</v>
      </c>
      <c r="D92" s="5">
        <v>2043750</v>
      </c>
      <c r="E92" s="5">
        <v>547000</v>
      </c>
      <c r="F92" s="6">
        <f t="shared" si="3"/>
        <v>2590750</v>
      </c>
      <c r="G92" s="5">
        <v>1975750</v>
      </c>
      <c r="H92" s="5">
        <v>545000</v>
      </c>
      <c r="I92" s="6">
        <f t="shared" si="4"/>
        <v>2520750</v>
      </c>
    </row>
    <row r="93" spans="1:9" ht="15">
      <c r="A93" s="17">
        <v>16</v>
      </c>
      <c r="B93" s="15">
        <v>4</v>
      </c>
      <c r="C93" s="13" t="s">
        <v>253</v>
      </c>
      <c r="D93" s="5">
        <v>680373</v>
      </c>
      <c r="E93" s="5">
        <v>713785</v>
      </c>
      <c r="F93" s="6">
        <f t="shared" si="3"/>
        <v>1394158</v>
      </c>
      <c r="G93" s="5">
        <v>603093</v>
      </c>
      <c r="H93" s="5">
        <v>713785</v>
      </c>
      <c r="I93" s="6">
        <f t="shared" si="4"/>
        <v>1316878</v>
      </c>
    </row>
    <row r="94" spans="1:9" ht="15">
      <c r="A94" s="17">
        <v>17</v>
      </c>
      <c r="B94" s="15">
        <v>5</v>
      </c>
      <c r="C94" s="13" t="s">
        <v>24</v>
      </c>
      <c r="D94" s="5">
        <v>1889400</v>
      </c>
      <c r="E94" s="5">
        <v>85000</v>
      </c>
      <c r="F94" s="6">
        <f t="shared" si="3"/>
        <v>1974400</v>
      </c>
      <c r="G94" s="5">
        <v>1892400</v>
      </c>
      <c r="H94" s="5">
        <v>85000</v>
      </c>
      <c r="I94" s="6">
        <f t="shared" si="4"/>
        <v>1977400</v>
      </c>
    </row>
    <row r="95" spans="1:9" ht="15">
      <c r="A95" s="17">
        <v>18</v>
      </c>
      <c r="B95" s="15">
        <v>6</v>
      </c>
      <c r="C95" s="13" t="s">
        <v>25</v>
      </c>
      <c r="D95" s="5">
        <v>2030000</v>
      </c>
      <c r="E95" s="5">
        <v>424000</v>
      </c>
      <c r="F95" s="6">
        <f t="shared" si="3"/>
        <v>2454000</v>
      </c>
      <c r="G95" s="5">
        <v>2030000</v>
      </c>
      <c r="H95" s="5">
        <v>414000</v>
      </c>
      <c r="I95" s="6">
        <f t="shared" si="4"/>
        <v>2444000</v>
      </c>
    </row>
    <row r="96" spans="1:9" ht="15">
      <c r="A96" s="17">
        <v>19</v>
      </c>
      <c r="B96" s="15">
        <v>7</v>
      </c>
      <c r="C96" s="95" t="s">
        <v>26</v>
      </c>
      <c r="D96" s="5">
        <v>4095700</v>
      </c>
      <c r="E96" s="5">
        <v>182600</v>
      </c>
      <c r="F96" s="6">
        <f t="shared" si="3"/>
        <v>4278300</v>
      </c>
      <c r="G96" s="5">
        <v>4099300</v>
      </c>
      <c r="H96" s="5">
        <v>182700</v>
      </c>
      <c r="I96" s="6">
        <f t="shared" si="4"/>
        <v>4282000</v>
      </c>
    </row>
    <row r="97" spans="1:9" ht="15">
      <c r="A97" s="17">
        <v>20</v>
      </c>
      <c r="B97" s="15">
        <v>8</v>
      </c>
      <c r="C97" s="95" t="s">
        <v>242</v>
      </c>
      <c r="D97" s="5">
        <v>2119700</v>
      </c>
      <c r="E97" s="5"/>
      <c r="F97" s="6">
        <f t="shared" si="3"/>
        <v>2119700</v>
      </c>
      <c r="G97" s="5">
        <v>2207500</v>
      </c>
      <c r="H97" s="5"/>
      <c r="I97" s="6">
        <f t="shared" si="4"/>
        <v>2207500</v>
      </c>
    </row>
    <row r="98" spans="1:9" ht="15">
      <c r="A98" s="17">
        <v>21</v>
      </c>
      <c r="B98" s="15">
        <v>9</v>
      </c>
      <c r="C98" s="95" t="s">
        <v>28</v>
      </c>
      <c r="D98" s="5">
        <v>1059000</v>
      </c>
      <c r="E98" s="5">
        <v>257000</v>
      </c>
      <c r="F98" s="6">
        <f t="shared" si="3"/>
        <v>1316000</v>
      </c>
      <c r="G98" s="5"/>
      <c r="H98" s="5"/>
      <c r="I98" s="6">
        <f t="shared" si="4"/>
        <v>0</v>
      </c>
    </row>
    <row r="99" spans="1:9" ht="15">
      <c r="A99" s="17">
        <v>22</v>
      </c>
      <c r="B99" s="15">
        <v>10</v>
      </c>
      <c r="C99" s="95" t="s">
        <v>203</v>
      </c>
      <c r="D99" s="5">
        <v>3023014</v>
      </c>
      <c r="E99" s="5">
        <v>1420000</v>
      </c>
      <c r="F99" s="6">
        <f t="shared" si="3"/>
        <v>4443014</v>
      </c>
      <c r="G99" s="5">
        <v>3027846</v>
      </c>
      <c r="H99" s="5">
        <v>1440000</v>
      </c>
      <c r="I99" s="6">
        <f t="shared" si="4"/>
        <v>4467846</v>
      </c>
    </row>
    <row r="100" spans="1:9" ht="15">
      <c r="A100" s="17">
        <v>23</v>
      </c>
      <c r="B100" s="15">
        <v>11</v>
      </c>
      <c r="C100" s="95" t="s">
        <v>244</v>
      </c>
      <c r="D100" s="5">
        <v>1454045</v>
      </c>
      <c r="E100" s="5">
        <v>315133</v>
      </c>
      <c r="F100" s="6">
        <f t="shared" si="3"/>
        <v>1769178</v>
      </c>
      <c r="G100" s="5">
        <v>1454045</v>
      </c>
      <c r="H100" s="5">
        <v>315133</v>
      </c>
      <c r="I100" s="6">
        <f t="shared" si="4"/>
        <v>1769178</v>
      </c>
    </row>
    <row r="101" spans="1:9" ht="15">
      <c r="A101" s="17">
        <v>24</v>
      </c>
      <c r="B101" s="15">
        <v>12</v>
      </c>
      <c r="C101" s="95" t="s">
        <v>31</v>
      </c>
      <c r="D101" s="5">
        <v>1688500</v>
      </c>
      <c r="E101" s="18">
        <v>330000</v>
      </c>
      <c r="F101" s="6">
        <f t="shared" si="3"/>
        <v>2018500</v>
      </c>
      <c r="G101" s="5">
        <v>1604500</v>
      </c>
      <c r="H101" s="18">
        <v>320000</v>
      </c>
      <c r="I101" s="6">
        <f t="shared" si="4"/>
        <v>1924500</v>
      </c>
    </row>
    <row r="102" spans="1:9" ht="15">
      <c r="A102" s="17">
        <v>25</v>
      </c>
      <c r="B102" s="15">
        <v>13</v>
      </c>
      <c r="C102" s="95" t="s">
        <v>32</v>
      </c>
      <c r="D102" s="5"/>
      <c r="E102" s="5"/>
      <c r="F102" s="6">
        <f t="shared" si="3"/>
        <v>0</v>
      </c>
      <c r="G102" s="5"/>
      <c r="H102" s="5"/>
      <c r="I102" s="6">
        <f t="shared" si="4"/>
        <v>0</v>
      </c>
    </row>
    <row r="103" spans="1:9" ht="15">
      <c r="A103" s="17">
        <v>26</v>
      </c>
      <c r="B103" s="15">
        <v>14</v>
      </c>
      <c r="C103" s="95" t="s">
        <v>423</v>
      </c>
      <c r="D103" s="5">
        <v>619465</v>
      </c>
      <c r="E103" s="5"/>
      <c r="F103" s="6">
        <f t="shared" si="3"/>
        <v>619465</v>
      </c>
      <c r="G103" s="5"/>
      <c r="H103" s="5"/>
      <c r="I103" s="6">
        <f t="shared" si="4"/>
        <v>0</v>
      </c>
    </row>
    <row r="104" spans="1:9" ht="15">
      <c r="A104" s="17">
        <v>27</v>
      </c>
      <c r="B104" s="15">
        <v>15</v>
      </c>
      <c r="C104" s="95" t="s">
        <v>230</v>
      </c>
      <c r="D104" s="5">
        <v>971000</v>
      </c>
      <c r="E104" s="5">
        <v>1535100</v>
      </c>
      <c r="F104" s="6">
        <f t="shared" si="3"/>
        <v>2506100</v>
      </c>
      <c r="G104" s="5">
        <v>873500</v>
      </c>
      <c r="H104" s="5">
        <v>1485100</v>
      </c>
      <c r="I104" s="6">
        <f t="shared" si="4"/>
        <v>2358600</v>
      </c>
    </row>
    <row r="105" spans="1:9" ht="15">
      <c r="A105" s="17">
        <v>28</v>
      </c>
      <c r="B105" s="15">
        <v>16</v>
      </c>
      <c r="C105" s="95" t="s">
        <v>252</v>
      </c>
      <c r="D105" s="5">
        <v>1303418</v>
      </c>
      <c r="E105" s="5">
        <v>25000</v>
      </c>
      <c r="F105" s="6">
        <f t="shared" si="3"/>
        <v>1328418</v>
      </c>
      <c r="G105" s="5">
        <v>1303418</v>
      </c>
      <c r="H105" s="5">
        <v>25000</v>
      </c>
      <c r="I105" s="6">
        <f t="shared" si="4"/>
        <v>1328418</v>
      </c>
    </row>
    <row r="106" spans="1:9" ht="15">
      <c r="A106" s="17">
        <v>29</v>
      </c>
      <c r="B106" s="15">
        <v>17</v>
      </c>
      <c r="C106" s="95" t="s">
        <v>313</v>
      </c>
      <c r="D106" s="5">
        <f>425000*3</f>
        <v>1275000</v>
      </c>
      <c r="E106" s="5">
        <f>495000+505000+485000</f>
        <v>1485000</v>
      </c>
      <c r="F106" s="6">
        <f t="shared" si="3"/>
        <v>2760000</v>
      </c>
      <c r="G106" s="5"/>
      <c r="H106" s="5"/>
      <c r="I106" s="6">
        <f t="shared" si="4"/>
        <v>0</v>
      </c>
    </row>
    <row r="107" spans="1:9" ht="15">
      <c r="A107" s="17">
        <v>30</v>
      </c>
      <c r="B107" s="15">
        <v>18</v>
      </c>
      <c r="C107" s="96" t="s">
        <v>240</v>
      </c>
      <c r="D107" s="5">
        <v>3193650</v>
      </c>
      <c r="E107" s="5"/>
      <c r="F107" s="6">
        <f t="shared" si="3"/>
        <v>3193650</v>
      </c>
      <c r="G107" s="5">
        <v>3193650</v>
      </c>
      <c r="H107" s="5"/>
      <c r="I107" s="6">
        <f t="shared" si="4"/>
        <v>3193650</v>
      </c>
    </row>
    <row r="108" spans="1:9" ht="15">
      <c r="A108" s="17">
        <v>31</v>
      </c>
      <c r="B108" s="15">
        <v>19</v>
      </c>
      <c r="C108" s="96" t="s">
        <v>243</v>
      </c>
      <c r="D108" s="5">
        <v>489505</v>
      </c>
      <c r="E108" s="5">
        <v>767450</v>
      </c>
      <c r="F108" s="6">
        <f t="shared" si="3"/>
        <v>1256955</v>
      </c>
      <c r="G108" s="5">
        <v>485803</v>
      </c>
      <c r="H108" s="5">
        <v>767450</v>
      </c>
      <c r="I108" s="6">
        <f t="shared" si="4"/>
        <v>1253253</v>
      </c>
    </row>
    <row r="109" spans="1:9" ht="15">
      <c r="A109" s="17">
        <v>32</v>
      </c>
      <c r="B109" s="15">
        <v>20</v>
      </c>
      <c r="C109" s="96" t="s">
        <v>311</v>
      </c>
      <c r="D109" s="5">
        <v>756208</v>
      </c>
      <c r="E109" s="5">
        <v>133000</v>
      </c>
      <c r="F109" s="6">
        <f t="shared" si="3"/>
        <v>889208</v>
      </c>
      <c r="G109" s="5">
        <v>756208</v>
      </c>
      <c r="H109" s="5">
        <v>133000</v>
      </c>
      <c r="I109" s="6">
        <f t="shared" si="4"/>
        <v>889208</v>
      </c>
    </row>
    <row r="110" spans="1:9" ht="15">
      <c r="A110" s="17">
        <v>33</v>
      </c>
      <c r="B110" s="15">
        <v>21</v>
      </c>
      <c r="C110" s="96" t="s">
        <v>315</v>
      </c>
      <c r="D110" s="5">
        <v>743500</v>
      </c>
      <c r="E110" s="5"/>
      <c r="F110" s="6">
        <f t="shared" si="3"/>
        <v>743500</v>
      </c>
      <c r="G110" s="5">
        <v>743500</v>
      </c>
      <c r="H110" s="5"/>
      <c r="I110" s="6">
        <f t="shared" si="4"/>
        <v>743500</v>
      </c>
    </row>
    <row r="111" spans="1:9" ht="15">
      <c r="A111" s="224" t="s">
        <v>5</v>
      </c>
      <c r="B111" s="225"/>
      <c r="C111" s="225"/>
      <c r="D111" s="7">
        <f>SUM(D90:D110)</f>
        <v>35527448</v>
      </c>
      <c r="E111" s="7">
        <f>SUM(E90:E110)</f>
        <v>15190283</v>
      </c>
      <c r="F111" s="7">
        <f>SUM(D111:E111)</f>
        <v>50717731</v>
      </c>
      <c r="G111" s="7">
        <f>SUM(G90:G110)</f>
        <v>32342733</v>
      </c>
      <c r="H111" s="7">
        <f>SUM(H90:H110)</f>
        <v>13370383</v>
      </c>
      <c r="I111" s="7">
        <f t="shared" si="4"/>
        <v>45713116</v>
      </c>
    </row>
    <row r="112" spans="1:9" ht="15">
      <c r="A112" s="224" t="s">
        <v>47</v>
      </c>
      <c r="B112" s="225"/>
      <c r="C112" s="225"/>
      <c r="D112" s="225"/>
      <c r="E112" s="225"/>
      <c r="F112" s="225"/>
      <c r="G112" s="225"/>
      <c r="H112" s="225"/>
      <c r="I112" s="226"/>
    </row>
    <row r="113" spans="1:9" ht="15">
      <c r="A113" s="15">
        <v>34</v>
      </c>
      <c r="B113" s="15">
        <v>1</v>
      </c>
      <c r="C113" s="15" t="s">
        <v>48</v>
      </c>
      <c r="D113" s="5">
        <v>1000000</v>
      </c>
      <c r="E113" s="5">
        <v>200000</v>
      </c>
      <c r="F113" s="6">
        <f>SUM(D113:E113)</f>
        <v>1200000</v>
      </c>
      <c r="G113" s="5">
        <v>1000000</v>
      </c>
      <c r="H113" s="5">
        <v>200000</v>
      </c>
      <c r="I113" s="6">
        <f>SUM(G113:H113)</f>
        <v>1200000</v>
      </c>
    </row>
    <row r="114" spans="1:9" ht="15">
      <c r="A114" s="224" t="s">
        <v>42</v>
      </c>
      <c r="B114" s="225"/>
      <c r="C114" s="225"/>
      <c r="D114" s="7">
        <f>D113</f>
        <v>1000000</v>
      </c>
      <c r="E114" s="7">
        <f>E113</f>
        <v>200000</v>
      </c>
      <c r="F114" s="7">
        <f>SUM(D114:E114)</f>
        <v>1200000</v>
      </c>
      <c r="G114" s="7">
        <f>G113</f>
        <v>1000000</v>
      </c>
      <c r="H114" s="7">
        <f>H113</f>
        <v>200000</v>
      </c>
      <c r="I114" s="7">
        <f>SUM(G114:H114)</f>
        <v>1200000</v>
      </c>
    </row>
    <row r="115" spans="1:9" ht="15">
      <c r="A115" s="224" t="s">
        <v>49</v>
      </c>
      <c r="B115" s="225"/>
      <c r="C115" s="225"/>
      <c r="D115" s="225"/>
      <c r="E115" s="225"/>
      <c r="F115" s="225"/>
      <c r="G115" s="225"/>
      <c r="H115" s="225"/>
      <c r="I115" s="226"/>
    </row>
    <row r="116" spans="1:9" ht="15">
      <c r="A116" s="15">
        <v>35</v>
      </c>
      <c r="B116" s="15">
        <v>1</v>
      </c>
      <c r="C116" s="19" t="s">
        <v>50</v>
      </c>
      <c r="D116" s="5">
        <v>1720992</v>
      </c>
      <c r="E116" s="5">
        <v>509200</v>
      </c>
      <c r="F116" s="6">
        <f>SUM(D116:E116)</f>
        <v>2230192</v>
      </c>
      <c r="G116" s="5">
        <v>1650452</v>
      </c>
      <c r="H116" s="5">
        <v>490000</v>
      </c>
      <c r="I116" s="6">
        <f>SUM(G116:H116)</f>
        <v>2140452</v>
      </c>
    </row>
    <row r="117" spans="1:9" ht="15">
      <c r="A117" s="224" t="s">
        <v>42</v>
      </c>
      <c r="B117" s="225"/>
      <c r="C117" s="225"/>
      <c r="D117" s="7">
        <f>D116</f>
        <v>1720992</v>
      </c>
      <c r="E117" s="7">
        <f>E116</f>
        <v>509200</v>
      </c>
      <c r="F117" s="7">
        <f>SUM(D117:E117)</f>
        <v>2230192</v>
      </c>
      <c r="G117" s="7">
        <f>G116</f>
        <v>1650452</v>
      </c>
      <c r="H117" s="7">
        <f>H116</f>
        <v>490000</v>
      </c>
      <c r="I117" s="7">
        <f>SUM(G117:H117)</f>
        <v>2140452</v>
      </c>
    </row>
    <row r="118" spans="1:9" ht="15">
      <c r="A118" s="224" t="s">
        <v>51</v>
      </c>
      <c r="B118" s="225"/>
      <c r="C118" s="225"/>
      <c r="D118" s="225"/>
      <c r="E118" s="225"/>
      <c r="F118" s="225"/>
      <c r="G118" s="225"/>
      <c r="H118" s="225"/>
      <c r="I118" s="226"/>
    </row>
    <row r="119" spans="1:9" ht="15">
      <c r="A119" s="15">
        <v>36</v>
      </c>
      <c r="B119" s="15">
        <v>1</v>
      </c>
      <c r="C119" s="19" t="s">
        <v>52</v>
      </c>
      <c r="D119" s="5">
        <v>1553000</v>
      </c>
      <c r="E119" s="5">
        <v>649500</v>
      </c>
      <c r="F119" s="6">
        <f>SUM(D119:E119)</f>
        <v>2202500</v>
      </c>
      <c r="G119" s="5">
        <v>1445000</v>
      </c>
      <c r="H119" s="5">
        <v>649500</v>
      </c>
      <c r="I119" s="6">
        <f>SUM(G119:H119)</f>
        <v>2094500</v>
      </c>
    </row>
    <row r="120" spans="1:9" ht="15">
      <c r="A120" s="15">
        <v>37</v>
      </c>
      <c r="B120" s="15">
        <v>2</v>
      </c>
      <c r="C120" s="19" t="s">
        <v>53</v>
      </c>
      <c r="D120" s="5">
        <v>244000</v>
      </c>
      <c r="E120" s="5">
        <v>540000</v>
      </c>
      <c r="F120" s="6">
        <f aca="true" t="shared" si="5" ref="F120:F138">SUM(D120:E120)</f>
        <v>784000</v>
      </c>
      <c r="G120" s="5">
        <v>244000</v>
      </c>
      <c r="H120" s="5">
        <v>540000</v>
      </c>
      <c r="I120" s="6">
        <f aca="true" t="shared" si="6" ref="I120:I128">SUM(G120:H120)</f>
        <v>784000</v>
      </c>
    </row>
    <row r="121" spans="1:9" ht="15">
      <c r="A121" s="15">
        <v>38</v>
      </c>
      <c r="B121" s="15">
        <v>3</v>
      </c>
      <c r="C121" s="20" t="s">
        <v>54</v>
      </c>
      <c r="D121" s="5"/>
      <c r="E121" s="5"/>
      <c r="F121" s="6">
        <f t="shared" si="5"/>
        <v>0</v>
      </c>
      <c r="G121" s="5"/>
      <c r="H121" s="5"/>
      <c r="I121" s="6">
        <f t="shared" si="6"/>
        <v>0</v>
      </c>
    </row>
    <row r="122" spans="1:9" ht="15">
      <c r="A122" s="15">
        <v>39</v>
      </c>
      <c r="B122" s="21">
        <v>4</v>
      </c>
      <c r="C122" s="20" t="s">
        <v>55</v>
      </c>
      <c r="D122" s="5"/>
      <c r="E122" s="5"/>
      <c r="F122" s="6">
        <f t="shared" si="5"/>
        <v>0</v>
      </c>
      <c r="G122" s="5">
        <v>573500</v>
      </c>
      <c r="H122" s="5">
        <f>400000+495000</f>
        <v>895000</v>
      </c>
      <c r="I122" s="6">
        <f t="shared" si="6"/>
        <v>1468500</v>
      </c>
    </row>
    <row r="123" spans="1:9" ht="15">
      <c r="A123" s="15">
        <v>40</v>
      </c>
      <c r="B123" s="15">
        <v>5</v>
      </c>
      <c r="C123" s="20" t="s">
        <v>56</v>
      </c>
      <c r="D123" s="5">
        <v>505700</v>
      </c>
      <c r="E123" s="5">
        <v>137000</v>
      </c>
      <c r="F123" s="6">
        <f t="shared" si="5"/>
        <v>642700</v>
      </c>
      <c r="G123" s="5"/>
      <c r="H123" s="5"/>
      <c r="I123" s="6">
        <f t="shared" si="6"/>
        <v>0</v>
      </c>
    </row>
    <row r="124" spans="1:9" ht="15">
      <c r="A124" s="15">
        <v>41</v>
      </c>
      <c r="B124" s="15">
        <v>6</v>
      </c>
      <c r="C124" s="20" t="s">
        <v>57</v>
      </c>
      <c r="D124" s="5"/>
      <c r="E124" s="5"/>
      <c r="F124" s="6">
        <f t="shared" si="5"/>
        <v>0</v>
      </c>
      <c r="G124" s="5"/>
      <c r="H124" s="5"/>
      <c r="I124" s="6">
        <f t="shared" si="6"/>
        <v>0</v>
      </c>
    </row>
    <row r="125" spans="1:9" ht="15">
      <c r="A125" s="15">
        <v>42</v>
      </c>
      <c r="B125" s="15">
        <v>7</v>
      </c>
      <c r="C125" s="20" t="s">
        <v>58</v>
      </c>
      <c r="D125" s="5">
        <v>516000</v>
      </c>
      <c r="E125" s="5">
        <v>130000</v>
      </c>
      <c r="F125" s="6">
        <f t="shared" si="5"/>
        <v>646000</v>
      </c>
      <c r="G125" s="5">
        <v>516000</v>
      </c>
      <c r="H125" s="5">
        <v>130000</v>
      </c>
      <c r="I125" s="6">
        <f t="shared" si="6"/>
        <v>646000</v>
      </c>
    </row>
    <row r="126" spans="1:9" ht="15">
      <c r="A126" s="15">
        <v>43</v>
      </c>
      <c r="B126" s="15">
        <v>8</v>
      </c>
      <c r="C126" s="19" t="s">
        <v>59</v>
      </c>
      <c r="D126" s="5">
        <v>600000</v>
      </c>
      <c r="E126" s="5">
        <v>150000</v>
      </c>
      <c r="F126" s="6">
        <f t="shared" si="5"/>
        <v>750000</v>
      </c>
      <c r="G126" s="5">
        <v>600000</v>
      </c>
      <c r="H126" s="5">
        <v>150000</v>
      </c>
      <c r="I126" s="6">
        <f t="shared" si="6"/>
        <v>750000</v>
      </c>
    </row>
    <row r="127" spans="1:9" ht="15">
      <c r="A127" s="15">
        <v>44</v>
      </c>
      <c r="B127" s="15">
        <v>9</v>
      </c>
      <c r="C127" s="19" t="s">
        <v>60</v>
      </c>
      <c r="D127" s="5">
        <v>397500</v>
      </c>
      <c r="E127" s="5">
        <v>230000</v>
      </c>
      <c r="F127" s="6">
        <f t="shared" si="5"/>
        <v>627500</v>
      </c>
      <c r="G127" s="5">
        <v>397500</v>
      </c>
      <c r="H127" s="5">
        <v>230000</v>
      </c>
      <c r="I127" s="6">
        <f t="shared" si="6"/>
        <v>627500</v>
      </c>
    </row>
    <row r="128" spans="1:9" ht="15">
      <c r="A128" s="15">
        <v>45</v>
      </c>
      <c r="B128" s="15">
        <v>10</v>
      </c>
      <c r="C128" s="19" t="s">
        <v>61</v>
      </c>
      <c r="D128" s="5">
        <v>260400</v>
      </c>
      <c r="E128" s="5">
        <v>100000</v>
      </c>
      <c r="F128" s="6">
        <f t="shared" si="5"/>
        <v>360400</v>
      </c>
      <c r="G128" s="5">
        <v>260400</v>
      </c>
      <c r="H128" s="5">
        <v>100000</v>
      </c>
      <c r="I128" s="6">
        <f t="shared" si="6"/>
        <v>360400</v>
      </c>
    </row>
    <row r="129" spans="1:9" ht="15">
      <c r="A129" s="15">
        <v>46</v>
      </c>
      <c r="B129" s="15">
        <v>11</v>
      </c>
      <c r="C129" s="19" t="s">
        <v>62</v>
      </c>
      <c r="D129" s="5"/>
      <c r="E129" s="108"/>
      <c r="F129" s="6">
        <f>SUM(D129:E129)</f>
        <v>0</v>
      </c>
      <c r="G129" s="5"/>
      <c r="H129" s="108"/>
      <c r="I129" s="6">
        <f>SUM(G129:H129)</f>
        <v>0</v>
      </c>
    </row>
    <row r="130" spans="1:9" ht="15">
      <c r="A130" s="15">
        <v>47</v>
      </c>
      <c r="B130" s="15">
        <v>12</v>
      </c>
      <c r="C130" s="19" t="s">
        <v>63</v>
      </c>
      <c r="D130" s="5"/>
      <c r="E130" s="5"/>
      <c r="F130" s="6">
        <f t="shared" si="5"/>
        <v>0</v>
      </c>
      <c r="G130" s="5"/>
      <c r="H130" s="5"/>
      <c r="I130" s="6">
        <f>SUM(G130:H130)</f>
        <v>0</v>
      </c>
    </row>
    <row r="131" spans="1:9" ht="15">
      <c r="A131" s="15">
        <v>48</v>
      </c>
      <c r="B131" s="15">
        <v>13</v>
      </c>
      <c r="C131" s="19" t="s">
        <v>64</v>
      </c>
      <c r="D131" s="5"/>
      <c r="E131" s="5"/>
      <c r="F131" s="6">
        <f t="shared" si="5"/>
        <v>0</v>
      </c>
      <c r="G131" s="5"/>
      <c r="H131" s="5"/>
      <c r="I131" s="6">
        <f>SUM(G131:H131)</f>
        <v>0</v>
      </c>
    </row>
    <row r="132" spans="1:9" ht="15">
      <c r="A132" s="15">
        <v>49</v>
      </c>
      <c r="B132" s="15">
        <v>14</v>
      </c>
      <c r="C132" s="19" t="s">
        <v>65</v>
      </c>
      <c r="D132" s="5"/>
      <c r="E132" s="5"/>
      <c r="F132" s="6">
        <f>SUM(D132:E132)</f>
        <v>0</v>
      </c>
      <c r="G132" s="5">
        <f>127000+127000</f>
        <v>254000</v>
      </c>
      <c r="H132" s="5">
        <f>135000+130000</f>
        <v>265000</v>
      </c>
      <c r="I132" s="6">
        <f>SUM(G132:H132)</f>
        <v>519000</v>
      </c>
    </row>
    <row r="133" spans="1:9" ht="15">
      <c r="A133" s="15">
        <v>50</v>
      </c>
      <c r="B133" s="15">
        <v>15</v>
      </c>
      <c r="C133" s="78" t="s">
        <v>66</v>
      </c>
      <c r="D133" s="5"/>
      <c r="E133" s="5"/>
      <c r="F133" s="6">
        <f t="shared" si="5"/>
        <v>0</v>
      </c>
      <c r="G133" s="5"/>
      <c r="H133" s="5"/>
      <c r="I133" s="6">
        <f aca="true" t="shared" si="7" ref="I133:I138">SUM(G133:H133)</f>
        <v>0</v>
      </c>
    </row>
    <row r="134" spans="1:9" ht="15">
      <c r="A134" s="15">
        <v>51</v>
      </c>
      <c r="B134" s="15">
        <v>16</v>
      </c>
      <c r="C134" s="19" t="s">
        <v>67</v>
      </c>
      <c r="D134" s="5">
        <v>932000</v>
      </c>
      <c r="E134" s="5"/>
      <c r="F134" s="6">
        <f t="shared" si="5"/>
        <v>932000</v>
      </c>
      <c r="G134" s="5">
        <v>1032000</v>
      </c>
      <c r="H134" s="5"/>
      <c r="I134" s="6">
        <f t="shared" si="7"/>
        <v>1032000</v>
      </c>
    </row>
    <row r="135" spans="1:9" ht="15">
      <c r="A135" s="15">
        <v>52</v>
      </c>
      <c r="B135" s="15">
        <v>17</v>
      </c>
      <c r="C135" s="19" t="s">
        <v>68</v>
      </c>
      <c r="D135" s="5"/>
      <c r="E135" s="5"/>
      <c r="F135" s="6">
        <f t="shared" si="5"/>
        <v>0</v>
      </c>
      <c r="G135" s="5">
        <v>1130000</v>
      </c>
      <c r="H135" s="5"/>
      <c r="I135" s="6">
        <f t="shared" si="7"/>
        <v>1130000</v>
      </c>
    </row>
    <row r="136" spans="1:9" ht="15">
      <c r="A136" s="15">
        <v>53</v>
      </c>
      <c r="B136" s="15">
        <v>18</v>
      </c>
      <c r="C136" s="19" t="s">
        <v>69</v>
      </c>
      <c r="D136" s="5">
        <v>604304</v>
      </c>
      <c r="E136" s="5">
        <v>160000</v>
      </c>
      <c r="F136" s="6">
        <f t="shared" si="5"/>
        <v>764304</v>
      </c>
      <c r="G136" s="5">
        <f>615547+615547</f>
        <v>1231094</v>
      </c>
      <c r="H136" s="5">
        <f>260000+260000</f>
        <v>520000</v>
      </c>
      <c r="I136" s="6">
        <f t="shared" si="7"/>
        <v>1751094</v>
      </c>
    </row>
    <row r="137" spans="1:9" ht="15">
      <c r="A137" s="15">
        <v>54</v>
      </c>
      <c r="B137" s="15">
        <v>19</v>
      </c>
      <c r="C137" s="19" t="s">
        <v>70</v>
      </c>
      <c r="D137" s="5"/>
      <c r="E137" s="5"/>
      <c r="F137" s="6">
        <f t="shared" si="5"/>
        <v>0</v>
      </c>
      <c r="G137" s="5"/>
      <c r="H137" s="5"/>
      <c r="I137" s="6">
        <f t="shared" si="7"/>
        <v>0</v>
      </c>
    </row>
    <row r="138" spans="1:9" ht="15">
      <c r="A138" s="15">
        <v>55</v>
      </c>
      <c r="B138" s="15">
        <v>20</v>
      </c>
      <c r="C138" s="19" t="s">
        <v>71</v>
      </c>
      <c r="D138" s="5">
        <v>391132</v>
      </c>
      <c r="E138" s="5">
        <v>295000</v>
      </c>
      <c r="F138" s="6">
        <f t="shared" si="5"/>
        <v>686132</v>
      </c>
      <c r="G138" s="5"/>
      <c r="H138" s="5"/>
      <c r="I138" s="6">
        <f t="shared" si="7"/>
        <v>0</v>
      </c>
    </row>
    <row r="139" spans="1:13" ht="15">
      <c r="A139" s="224" t="s">
        <v>5</v>
      </c>
      <c r="B139" s="225"/>
      <c r="C139" s="225"/>
      <c r="D139" s="7">
        <f>SUM(D119:D138)</f>
        <v>6004036</v>
      </c>
      <c r="E139" s="7">
        <f>SUM(E119:E138)</f>
        <v>2391500</v>
      </c>
      <c r="F139" s="7">
        <f>SUM(D139:E139)</f>
        <v>8395536</v>
      </c>
      <c r="G139" s="7">
        <f>SUM(G119:G138)</f>
        <v>7683494</v>
      </c>
      <c r="H139" s="7">
        <f>SUM(H119:H138)</f>
        <v>3479500</v>
      </c>
      <c r="I139" s="7">
        <f>SUM(G139:H139)</f>
        <v>11162994</v>
      </c>
      <c r="M139" t="s">
        <v>348</v>
      </c>
    </row>
    <row r="140" spans="1:9" ht="15">
      <c r="A140" s="234" t="s">
        <v>72</v>
      </c>
      <c r="B140" s="235"/>
      <c r="C140" s="235"/>
      <c r="D140" s="235"/>
      <c r="E140" s="235"/>
      <c r="F140" s="235"/>
      <c r="G140" s="235"/>
      <c r="H140" s="235"/>
      <c r="I140" s="236"/>
    </row>
    <row r="141" spans="1:9" ht="15">
      <c r="A141" s="15">
        <v>56</v>
      </c>
      <c r="B141" s="15">
        <v>1</v>
      </c>
      <c r="C141" s="20" t="s">
        <v>73</v>
      </c>
      <c r="D141" s="5">
        <v>1350440</v>
      </c>
      <c r="E141" s="5">
        <v>842800</v>
      </c>
      <c r="F141" s="6">
        <f>SUM(D141:E141)</f>
        <v>2193240</v>
      </c>
      <c r="G141" s="5">
        <v>1350440</v>
      </c>
      <c r="H141" s="5">
        <v>840000</v>
      </c>
      <c r="I141" s="6">
        <f>SUM(G141:H141)</f>
        <v>2190440</v>
      </c>
    </row>
    <row r="142" spans="1:9" ht="15">
      <c r="A142" s="15">
        <v>57</v>
      </c>
      <c r="B142" s="15">
        <v>2</v>
      </c>
      <c r="C142" s="20" t="s">
        <v>74</v>
      </c>
      <c r="D142" s="5">
        <v>344500</v>
      </c>
      <c r="E142" s="5">
        <v>159000</v>
      </c>
      <c r="F142" s="6">
        <f>SUM(D142:E142)</f>
        <v>503500</v>
      </c>
      <c r="G142" s="5">
        <v>343500</v>
      </c>
      <c r="H142" s="5">
        <v>158000</v>
      </c>
      <c r="I142" s="6">
        <f>SUM(G142:H142)</f>
        <v>501500</v>
      </c>
    </row>
    <row r="143" spans="1:9" ht="15">
      <c r="A143" s="15">
        <v>58</v>
      </c>
      <c r="B143" s="15">
        <v>3</v>
      </c>
      <c r="C143" s="20" t="s">
        <v>75</v>
      </c>
      <c r="D143" s="5">
        <f>1134200+1000700</f>
        <v>2134900</v>
      </c>
      <c r="E143" s="5">
        <f>1247500*2+1041500</f>
        <v>3536500</v>
      </c>
      <c r="F143" s="6">
        <f aca="true" t="shared" si="8" ref="F143:F160">SUM(D143:E143)</f>
        <v>5671400</v>
      </c>
      <c r="G143" s="5"/>
      <c r="H143" s="5"/>
      <c r="I143" s="6">
        <f aca="true" t="shared" si="9" ref="I143:I160">SUM(G143:H143)</f>
        <v>0</v>
      </c>
    </row>
    <row r="144" spans="1:9" ht="15">
      <c r="A144" s="15">
        <v>59</v>
      </c>
      <c r="B144" s="15">
        <v>4</v>
      </c>
      <c r="C144" s="20" t="s">
        <v>76</v>
      </c>
      <c r="D144" s="5"/>
      <c r="E144" s="5">
        <v>300000</v>
      </c>
      <c r="F144" s="6">
        <f t="shared" si="8"/>
        <v>300000</v>
      </c>
      <c r="G144" s="5"/>
      <c r="H144" s="5">
        <v>300000</v>
      </c>
      <c r="I144" s="6">
        <f t="shared" si="9"/>
        <v>300000</v>
      </c>
    </row>
    <row r="145" spans="1:9" ht="15">
      <c r="A145" s="15">
        <v>60</v>
      </c>
      <c r="B145" s="15">
        <v>5</v>
      </c>
      <c r="C145" s="22" t="s">
        <v>77</v>
      </c>
      <c r="D145" s="5"/>
      <c r="E145" s="5"/>
      <c r="F145" s="6">
        <f t="shared" si="8"/>
        <v>0</v>
      </c>
      <c r="G145" s="5"/>
      <c r="H145" s="5"/>
      <c r="I145" s="6">
        <f t="shared" si="9"/>
        <v>0</v>
      </c>
    </row>
    <row r="146" spans="1:9" ht="15">
      <c r="A146" s="15">
        <v>61</v>
      </c>
      <c r="B146" s="15">
        <v>6</v>
      </c>
      <c r="C146" s="20" t="s">
        <v>78</v>
      </c>
      <c r="D146" s="5">
        <v>1044000</v>
      </c>
      <c r="E146" s="5">
        <v>1264500</v>
      </c>
      <c r="F146" s="6">
        <f t="shared" si="8"/>
        <v>2308500</v>
      </c>
      <c r="G146" s="5">
        <v>1044000</v>
      </c>
      <c r="H146" s="5">
        <v>1254500</v>
      </c>
      <c r="I146" s="6">
        <f t="shared" si="9"/>
        <v>2298500</v>
      </c>
    </row>
    <row r="147" spans="1:9" ht="15">
      <c r="A147" s="15">
        <v>62</v>
      </c>
      <c r="B147" s="15">
        <v>7</v>
      </c>
      <c r="C147" s="20" t="s">
        <v>79</v>
      </c>
      <c r="D147" s="5">
        <v>304000</v>
      </c>
      <c r="E147" s="5">
        <v>430000</v>
      </c>
      <c r="F147" s="6">
        <f t="shared" si="8"/>
        <v>734000</v>
      </c>
      <c r="G147" s="5">
        <v>330000</v>
      </c>
      <c r="H147" s="5">
        <v>400000</v>
      </c>
      <c r="I147" s="6">
        <f t="shared" si="9"/>
        <v>730000</v>
      </c>
    </row>
    <row r="148" spans="1:9" ht="15">
      <c r="A148" s="15">
        <v>63</v>
      </c>
      <c r="B148" s="15">
        <v>8</v>
      </c>
      <c r="C148" s="20" t="s">
        <v>80</v>
      </c>
      <c r="D148" s="5">
        <v>994000</v>
      </c>
      <c r="E148" s="5">
        <v>480700</v>
      </c>
      <c r="F148" s="6">
        <f t="shared" si="8"/>
        <v>1474700</v>
      </c>
      <c r="G148" s="5">
        <v>994000</v>
      </c>
      <c r="H148" s="5">
        <v>480700</v>
      </c>
      <c r="I148" s="6">
        <f t="shared" si="9"/>
        <v>1474700</v>
      </c>
    </row>
    <row r="149" spans="1:9" ht="15">
      <c r="A149" s="15">
        <v>64</v>
      </c>
      <c r="B149" s="15">
        <v>9</v>
      </c>
      <c r="C149" s="20" t="s">
        <v>81</v>
      </c>
      <c r="D149" s="5">
        <v>318000</v>
      </c>
      <c r="E149" s="5">
        <v>472000</v>
      </c>
      <c r="F149" s="6">
        <f t="shared" si="8"/>
        <v>790000</v>
      </c>
      <c r="G149" s="5">
        <v>318000</v>
      </c>
      <c r="H149" s="5">
        <v>472000</v>
      </c>
      <c r="I149" s="6">
        <f t="shared" si="9"/>
        <v>790000</v>
      </c>
    </row>
    <row r="150" spans="1:9" ht="15">
      <c r="A150" s="15">
        <v>65</v>
      </c>
      <c r="B150" s="15">
        <v>10</v>
      </c>
      <c r="C150" s="20" t="s">
        <v>82</v>
      </c>
      <c r="D150" s="5">
        <v>357100</v>
      </c>
      <c r="E150" s="5">
        <v>72000</v>
      </c>
      <c r="F150" s="6">
        <f t="shared" si="8"/>
        <v>429100</v>
      </c>
      <c r="G150" s="5">
        <v>357100</v>
      </c>
      <c r="H150" s="5">
        <v>72000</v>
      </c>
      <c r="I150" s="6">
        <f t="shared" si="9"/>
        <v>429100</v>
      </c>
    </row>
    <row r="151" spans="1:9" ht="15">
      <c r="A151" s="15">
        <v>66</v>
      </c>
      <c r="B151" s="15">
        <v>11</v>
      </c>
      <c r="C151" s="20" t="s">
        <v>83</v>
      </c>
      <c r="D151" s="5"/>
      <c r="E151" s="5">
        <v>665000</v>
      </c>
      <c r="F151" s="6">
        <f t="shared" si="8"/>
        <v>665000</v>
      </c>
      <c r="G151" s="5"/>
      <c r="H151" s="5">
        <v>600000</v>
      </c>
      <c r="I151" s="6">
        <f t="shared" si="9"/>
        <v>600000</v>
      </c>
    </row>
    <row r="152" spans="1:9" ht="15">
      <c r="A152" s="15">
        <v>67</v>
      </c>
      <c r="B152" s="15">
        <v>12</v>
      </c>
      <c r="C152" s="20" t="s">
        <v>84</v>
      </c>
      <c r="D152" s="5"/>
      <c r="E152" s="5"/>
      <c r="F152" s="6">
        <f t="shared" si="8"/>
        <v>0</v>
      </c>
      <c r="G152" s="5">
        <v>416700</v>
      </c>
      <c r="H152" s="5">
        <v>1087300</v>
      </c>
      <c r="I152" s="6">
        <f t="shared" si="9"/>
        <v>1504000</v>
      </c>
    </row>
    <row r="153" spans="1:9" ht="15">
      <c r="A153" s="15">
        <v>68</v>
      </c>
      <c r="B153" s="15">
        <v>13</v>
      </c>
      <c r="C153" s="20" t="s">
        <v>85</v>
      </c>
      <c r="D153" s="18"/>
      <c r="E153" s="18">
        <v>500000</v>
      </c>
      <c r="F153" s="6">
        <f t="shared" si="8"/>
        <v>500000</v>
      </c>
      <c r="G153" s="18"/>
      <c r="H153" s="18">
        <v>500000</v>
      </c>
      <c r="I153" s="6">
        <f t="shared" si="9"/>
        <v>500000</v>
      </c>
    </row>
    <row r="154" spans="1:9" ht="15">
      <c r="A154" s="15">
        <v>69</v>
      </c>
      <c r="B154" s="15">
        <v>14</v>
      </c>
      <c r="C154" s="22" t="s">
        <v>86</v>
      </c>
      <c r="D154" s="5"/>
      <c r="E154" s="5"/>
      <c r="F154" s="6">
        <f t="shared" si="8"/>
        <v>0</v>
      </c>
      <c r="G154" s="5"/>
      <c r="H154" s="5"/>
      <c r="I154" s="6">
        <f t="shared" si="9"/>
        <v>0</v>
      </c>
    </row>
    <row r="155" spans="1:9" ht="15">
      <c r="A155" s="15">
        <v>70</v>
      </c>
      <c r="B155" s="15">
        <v>15</v>
      </c>
      <c r="C155" s="20" t="s">
        <v>87</v>
      </c>
      <c r="D155" s="5"/>
      <c r="E155" s="5">
        <v>966000</v>
      </c>
      <c r="F155" s="6">
        <f t="shared" si="8"/>
        <v>966000</v>
      </c>
      <c r="G155" s="5"/>
      <c r="H155" s="5"/>
      <c r="I155" s="6">
        <f t="shared" si="9"/>
        <v>0</v>
      </c>
    </row>
    <row r="156" spans="1:9" ht="15">
      <c r="A156" s="15">
        <v>71</v>
      </c>
      <c r="B156" s="15">
        <v>16</v>
      </c>
      <c r="C156" s="20" t="s">
        <v>88</v>
      </c>
      <c r="D156" s="5"/>
      <c r="E156" s="5"/>
      <c r="F156" s="6">
        <f t="shared" si="8"/>
        <v>0</v>
      </c>
      <c r="G156" s="5"/>
      <c r="H156" s="5"/>
      <c r="I156" s="6">
        <f t="shared" si="9"/>
        <v>0</v>
      </c>
    </row>
    <row r="157" spans="1:9" ht="15">
      <c r="A157" s="15">
        <v>72</v>
      </c>
      <c r="B157" s="15">
        <v>17</v>
      </c>
      <c r="C157" s="20" t="s">
        <v>89</v>
      </c>
      <c r="D157" s="5"/>
      <c r="E157" s="5"/>
      <c r="F157" s="6">
        <f t="shared" si="8"/>
        <v>0</v>
      </c>
      <c r="G157" s="5"/>
      <c r="H157" s="5">
        <v>723000</v>
      </c>
      <c r="I157" s="6">
        <f t="shared" si="9"/>
        <v>723000</v>
      </c>
    </row>
    <row r="158" spans="1:9" ht="15">
      <c r="A158" s="15">
        <v>73</v>
      </c>
      <c r="B158" s="15">
        <v>18</v>
      </c>
      <c r="C158" s="19" t="s">
        <v>90</v>
      </c>
      <c r="D158" s="5"/>
      <c r="E158" s="5">
        <v>4148936</v>
      </c>
      <c r="F158" s="6">
        <f t="shared" si="8"/>
        <v>4148936</v>
      </c>
      <c r="G158" s="5"/>
      <c r="H158" s="5">
        <v>1037234</v>
      </c>
      <c r="I158" s="6">
        <f t="shared" si="9"/>
        <v>1037234</v>
      </c>
    </row>
    <row r="159" spans="1:9" ht="15">
      <c r="A159" s="15">
        <v>74</v>
      </c>
      <c r="B159" s="15">
        <v>19</v>
      </c>
      <c r="C159" s="19" t="s">
        <v>91</v>
      </c>
      <c r="D159" s="5">
        <v>850800</v>
      </c>
      <c r="E159" s="5">
        <v>125000</v>
      </c>
      <c r="F159" s="6">
        <f t="shared" si="8"/>
        <v>975800</v>
      </c>
      <c r="G159" s="5">
        <v>844600</v>
      </c>
      <c r="H159" s="5">
        <v>125000</v>
      </c>
      <c r="I159" s="6">
        <f t="shared" si="9"/>
        <v>969600</v>
      </c>
    </row>
    <row r="160" spans="1:9" ht="15">
      <c r="A160" s="15">
        <v>75</v>
      </c>
      <c r="B160" s="15">
        <v>20</v>
      </c>
      <c r="C160" s="19" t="s">
        <v>92</v>
      </c>
      <c r="D160" s="5">
        <v>309000</v>
      </c>
      <c r="E160" s="5">
        <v>624000</v>
      </c>
      <c r="F160" s="6">
        <f t="shared" si="8"/>
        <v>933000</v>
      </c>
      <c r="G160" s="5">
        <v>309000</v>
      </c>
      <c r="H160" s="5">
        <v>624000</v>
      </c>
      <c r="I160" s="6">
        <f t="shared" si="9"/>
        <v>933000</v>
      </c>
    </row>
    <row r="161" spans="1:9" ht="15">
      <c r="A161" s="224" t="s">
        <v>5</v>
      </c>
      <c r="B161" s="225"/>
      <c r="C161" s="225"/>
      <c r="D161" s="7">
        <f>SUM(D141:D160)</f>
        <v>8006740</v>
      </c>
      <c r="E161" s="7">
        <f>SUM(E141:E160)</f>
        <v>14586436</v>
      </c>
      <c r="F161" s="7">
        <f>SUM(D161:E161)</f>
        <v>22593176</v>
      </c>
      <c r="G161" s="7">
        <f>SUM(G141:G160)</f>
        <v>6307340</v>
      </c>
      <c r="H161" s="7">
        <f>SUM(H141:H160)</f>
        <v>8673734</v>
      </c>
      <c r="I161" s="7">
        <f>SUM(G161:H161)</f>
        <v>14981074</v>
      </c>
    </row>
    <row r="162" spans="1:9" ht="15">
      <c r="A162" s="224" t="s">
        <v>93</v>
      </c>
      <c r="B162" s="225"/>
      <c r="C162" s="225"/>
      <c r="D162" s="225"/>
      <c r="E162" s="225"/>
      <c r="F162" s="225"/>
      <c r="G162" s="225"/>
      <c r="H162" s="225"/>
      <c r="I162" s="226"/>
    </row>
    <row r="163" spans="1:9" ht="15">
      <c r="A163" s="15">
        <v>76</v>
      </c>
      <c r="B163" s="15">
        <v>1</v>
      </c>
      <c r="C163" s="19" t="s">
        <v>94</v>
      </c>
      <c r="D163" s="5">
        <v>893543</v>
      </c>
      <c r="E163" s="5">
        <v>94500</v>
      </c>
      <c r="F163" s="6">
        <f>SUM(D163:E163)</f>
        <v>988043</v>
      </c>
      <c r="G163" s="5">
        <v>893543</v>
      </c>
      <c r="H163" s="5">
        <v>96000</v>
      </c>
      <c r="I163" s="6">
        <f>SUM(G163:H163)</f>
        <v>989543</v>
      </c>
    </row>
    <row r="164" spans="1:9" ht="15">
      <c r="A164" s="15">
        <v>77</v>
      </c>
      <c r="B164" s="15">
        <v>2</v>
      </c>
      <c r="C164" s="19" t="s">
        <v>95</v>
      </c>
      <c r="D164" s="5"/>
      <c r="E164" s="5">
        <v>25000</v>
      </c>
      <c r="F164" s="6">
        <f aca="true" t="shared" si="10" ref="F164:F185">SUM(D164:E164)</f>
        <v>25000</v>
      </c>
      <c r="G164" s="5"/>
      <c r="H164" s="5"/>
      <c r="I164" s="6">
        <f aca="true" t="shared" si="11" ref="I164:I182">SUM(G164:H164)</f>
        <v>0</v>
      </c>
    </row>
    <row r="165" spans="1:9" ht="15">
      <c r="A165" s="15">
        <v>78</v>
      </c>
      <c r="B165" s="15">
        <v>3</v>
      </c>
      <c r="C165" s="19" t="s">
        <v>96</v>
      </c>
      <c r="D165" s="5"/>
      <c r="E165" s="5">
        <f>250000+40000+75000</f>
        <v>365000</v>
      </c>
      <c r="F165" s="6">
        <f t="shared" si="10"/>
        <v>365000</v>
      </c>
      <c r="G165" s="5"/>
      <c r="H165" s="5">
        <f>240000+40000+75000</f>
        <v>355000</v>
      </c>
      <c r="I165" s="6">
        <f t="shared" si="11"/>
        <v>355000</v>
      </c>
    </row>
    <row r="166" spans="1:9" ht="15">
      <c r="A166" s="15">
        <v>79</v>
      </c>
      <c r="B166" s="15">
        <v>4</v>
      </c>
      <c r="C166" s="19" t="s">
        <v>97</v>
      </c>
      <c r="D166" s="5"/>
      <c r="E166" s="5"/>
      <c r="F166" s="6">
        <f t="shared" si="10"/>
        <v>0</v>
      </c>
      <c r="G166" s="5">
        <v>930000</v>
      </c>
      <c r="H166" s="5"/>
      <c r="I166" s="6">
        <f t="shared" si="11"/>
        <v>930000</v>
      </c>
    </row>
    <row r="167" spans="1:9" ht="15">
      <c r="A167" s="15">
        <v>80</v>
      </c>
      <c r="B167" s="15">
        <v>5</v>
      </c>
      <c r="C167" s="19" t="s">
        <v>98</v>
      </c>
      <c r="D167" s="5"/>
      <c r="E167" s="5"/>
      <c r="F167" s="6">
        <f t="shared" si="10"/>
        <v>0</v>
      </c>
      <c r="G167" s="5"/>
      <c r="H167" s="5"/>
      <c r="I167" s="6">
        <f t="shared" si="11"/>
        <v>0</v>
      </c>
    </row>
    <row r="168" spans="1:9" ht="15">
      <c r="A168" s="15">
        <v>81</v>
      </c>
      <c r="B168" s="15">
        <v>6</v>
      </c>
      <c r="C168" s="20" t="s">
        <v>99</v>
      </c>
      <c r="D168" s="5">
        <v>20000000</v>
      </c>
      <c r="E168" s="5"/>
      <c r="F168" s="6">
        <f t="shared" si="10"/>
        <v>20000000</v>
      </c>
      <c r="G168" s="5">
        <v>20000000</v>
      </c>
      <c r="H168" s="5"/>
      <c r="I168" s="6">
        <f t="shared" si="11"/>
        <v>20000000</v>
      </c>
    </row>
    <row r="169" spans="1:9" ht="15">
      <c r="A169" s="15">
        <v>82</v>
      </c>
      <c r="B169" s="15">
        <v>7</v>
      </c>
      <c r="C169" s="19" t="s">
        <v>100</v>
      </c>
      <c r="D169" s="5"/>
      <c r="E169" s="5"/>
      <c r="F169" s="6">
        <f t="shared" si="10"/>
        <v>0</v>
      </c>
      <c r="G169" s="5"/>
      <c r="H169" s="5"/>
      <c r="I169" s="6">
        <f t="shared" si="11"/>
        <v>0</v>
      </c>
    </row>
    <row r="170" spans="1:9" ht="15">
      <c r="A170" s="15">
        <v>83</v>
      </c>
      <c r="B170" s="15">
        <v>8</v>
      </c>
      <c r="C170" s="19" t="s">
        <v>101</v>
      </c>
      <c r="D170" s="5"/>
      <c r="E170" s="5"/>
      <c r="F170" s="6">
        <f t="shared" si="10"/>
        <v>0</v>
      </c>
      <c r="G170" s="5"/>
      <c r="H170" s="5"/>
      <c r="I170" s="6">
        <f t="shared" si="11"/>
        <v>0</v>
      </c>
    </row>
    <row r="171" spans="1:9" ht="15">
      <c r="A171" s="15">
        <v>84</v>
      </c>
      <c r="B171" s="15">
        <v>9</v>
      </c>
      <c r="C171" s="19" t="s">
        <v>102</v>
      </c>
      <c r="D171" s="5"/>
      <c r="E171" s="5"/>
      <c r="F171" s="6">
        <f t="shared" si="10"/>
        <v>0</v>
      </c>
      <c r="G171" s="5"/>
      <c r="H171" s="5"/>
      <c r="I171" s="6">
        <f t="shared" si="11"/>
        <v>0</v>
      </c>
    </row>
    <row r="172" spans="1:9" ht="15">
      <c r="A172" s="15">
        <v>85</v>
      </c>
      <c r="B172" s="15">
        <v>10</v>
      </c>
      <c r="C172" s="19" t="s">
        <v>103</v>
      </c>
      <c r="D172" s="5"/>
      <c r="E172" s="5"/>
      <c r="F172" s="6">
        <f t="shared" si="10"/>
        <v>0</v>
      </c>
      <c r="G172" s="5"/>
      <c r="H172" s="5"/>
      <c r="I172" s="6">
        <f t="shared" si="11"/>
        <v>0</v>
      </c>
    </row>
    <row r="173" spans="1:9" ht="15">
      <c r="A173" s="15">
        <v>86</v>
      </c>
      <c r="B173" s="15">
        <v>11</v>
      </c>
      <c r="C173" s="19" t="s">
        <v>104</v>
      </c>
      <c r="D173" s="5">
        <v>5135571</v>
      </c>
      <c r="E173" s="5"/>
      <c r="F173" s="6">
        <f t="shared" si="10"/>
        <v>5135571</v>
      </c>
      <c r="G173" s="5">
        <v>4859126</v>
      </c>
      <c r="H173" s="5"/>
      <c r="I173" s="6">
        <f t="shared" si="11"/>
        <v>4859126</v>
      </c>
    </row>
    <row r="174" spans="1:9" ht="15">
      <c r="A174" s="15">
        <v>87</v>
      </c>
      <c r="B174" s="15">
        <v>12</v>
      </c>
      <c r="C174" s="19" t="s">
        <v>105</v>
      </c>
      <c r="D174" s="5"/>
      <c r="E174" s="5"/>
      <c r="F174" s="6">
        <f t="shared" si="10"/>
        <v>0</v>
      </c>
      <c r="G174" s="5"/>
      <c r="H174" s="5"/>
      <c r="I174" s="6">
        <f t="shared" si="11"/>
        <v>0</v>
      </c>
    </row>
    <row r="175" spans="1:9" ht="15">
      <c r="A175" s="15">
        <v>88</v>
      </c>
      <c r="B175" s="15">
        <v>13</v>
      </c>
      <c r="C175" s="19" t="s">
        <v>106</v>
      </c>
      <c r="D175" s="5"/>
      <c r="E175" s="5"/>
      <c r="F175" s="6">
        <f t="shared" si="10"/>
        <v>0</v>
      </c>
      <c r="G175" s="5"/>
      <c r="H175" s="5">
        <v>340000</v>
      </c>
      <c r="I175" s="6">
        <f t="shared" si="11"/>
        <v>340000</v>
      </c>
    </row>
    <row r="176" spans="1:9" ht="15">
      <c r="A176" s="15">
        <v>89</v>
      </c>
      <c r="B176" s="15">
        <v>14</v>
      </c>
      <c r="C176" s="19" t="s">
        <v>251</v>
      </c>
      <c r="D176" s="5"/>
      <c r="E176" s="5">
        <v>62000</v>
      </c>
      <c r="F176" s="6">
        <f t="shared" si="10"/>
        <v>62000</v>
      </c>
      <c r="G176" s="5"/>
      <c r="H176" s="5">
        <v>60500</v>
      </c>
      <c r="I176" s="6">
        <f t="shared" si="11"/>
        <v>60500</v>
      </c>
    </row>
    <row r="177" spans="1:9" ht="15">
      <c r="A177" s="15">
        <v>90</v>
      </c>
      <c r="B177" s="15">
        <v>15</v>
      </c>
      <c r="C177" s="19" t="s">
        <v>108</v>
      </c>
      <c r="D177" s="5">
        <v>477000</v>
      </c>
      <c r="E177" s="5">
        <v>460000</v>
      </c>
      <c r="F177" s="6">
        <f t="shared" si="10"/>
        <v>937000</v>
      </c>
      <c r="G177" s="5">
        <v>477000</v>
      </c>
      <c r="H177" s="5">
        <v>450000</v>
      </c>
      <c r="I177" s="6">
        <f t="shared" si="11"/>
        <v>927000</v>
      </c>
    </row>
    <row r="178" spans="1:9" ht="15">
      <c r="A178" s="15">
        <v>91</v>
      </c>
      <c r="B178" s="15">
        <v>16</v>
      </c>
      <c r="C178" s="19" t="s">
        <v>109</v>
      </c>
      <c r="D178" s="5">
        <v>788100</v>
      </c>
      <c r="E178" s="5">
        <f>325000+400000</f>
        <v>725000</v>
      </c>
      <c r="F178" s="6">
        <f t="shared" si="10"/>
        <v>1513100</v>
      </c>
      <c r="G178" s="5">
        <v>919100</v>
      </c>
      <c r="H178" s="5">
        <f>402000+325000</f>
        <v>727000</v>
      </c>
      <c r="I178" s="6">
        <f t="shared" si="11"/>
        <v>1646100</v>
      </c>
    </row>
    <row r="179" spans="1:9" ht="15">
      <c r="A179" s="15">
        <v>92</v>
      </c>
      <c r="B179" s="15">
        <v>17</v>
      </c>
      <c r="C179" s="19" t="s">
        <v>110</v>
      </c>
      <c r="D179" s="5"/>
      <c r="E179" s="5"/>
      <c r="F179" s="6">
        <f t="shared" si="10"/>
        <v>0</v>
      </c>
      <c r="G179" s="5"/>
      <c r="H179" s="5"/>
      <c r="I179" s="6">
        <f t="shared" si="11"/>
        <v>0</v>
      </c>
    </row>
    <row r="180" spans="1:9" ht="15">
      <c r="A180" s="15">
        <v>93</v>
      </c>
      <c r="B180" s="15">
        <v>18</v>
      </c>
      <c r="C180" s="19" t="s">
        <v>111</v>
      </c>
      <c r="D180" s="5"/>
      <c r="E180" s="5"/>
      <c r="F180" s="6">
        <f t="shared" si="10"/>
        <v>0</v>
      </c>
      <c r="G180" s="5"/>
      <c r="H180" s="5"/>
      <c r="I180" s="6">
        <f t="shared" si="11"/>
        <v>0</v>
      </c>
    </row>
    <row r="181" spans="1:9" ht="15">
      <c r="A181" s="15">
        <v>94</v>
      </c>
      <c r="B181" s="15">
        <v>19</v>
      </c>
      <c r="C181" s="19" t="s">
        <v>112</v>
      </c>
      <c r="D181" s="5"/>
      <c r="E181" s="5"/>
      <c r="F181" s="6">
        <f t="shared" si="10"/>
        <v>0</v>
      </c>
      <c r="G181" s="5"/>
      <c r="H181" s="5"/>
      <c r="I181" s="6">
        <f t="shared" si="11"/>
        <v>0</v>
      </c>
    </row>
    <row r="182" spans="1:9" ht="15">
      <c r="A182" s="15">
        <v>95</v>
      </c>
      <c r="B182" s="15">
        <v>20</v>
      </c>
      <c r="C182" s="19" t="s">
        <v>113</v>
      </c>
      <c r="D182" s="5"/>
      <c r="E182" s="5"/>
      <c r="F182" s="6">
        <f t="shared" si="10"/>
        <v>0</v>
      </c>
      <c r="G182" s="5"/>
      <c r="H182" s="5"/>
      <c r="I182" s="6">
        <f t="shared" si="11"/>
        <v>0</v>
      </c>
    </row>
    <row r="183" spans="1:9" ht="15">
      <c r="A183" s="15">
        <v>96</v>
      </c>
      <c r="B183" s="15">
        <v>21</v>
      </c>
      <c r="C183" s="19" t="s">
        <v>114</v>
      </c>
      <c r="D183" s="5"/>
      <c r="E183" s="5"/>
      <c r="F183" s="6">
        <f>SUM(D183:E183)</f>
        <v>0</v>
      </c>
      <c r="G183" s="5"/>
      <c r="H183" s="5"/>
      <c r="I183" s="6">
        <f>SUM(G183:H183)</f>
        <v>0</v>
      </c>
    </row>
    <row r="184" spans="1:9" ht="15">
      <c r="A184" s="15">
        <v>97</v>
      </c>
      <c r="B184" s="15">
        <v>22</v>
      </c>
      <c r="C184" s="19" t="s">
        <v>115</v>
      </c>
      <c r="D184" s="5"/>
      <c r="E184" s="5"/>
      <c r="F184" s="6">
        <f t="shared" si="10"/>
        <v>0</v>
      </c>
      <c r="G184" s="5"/>
      <c r="H184" s="5"/>
      <c r="I184" s="6">
        <f>SUM(G184:H184)</f>
        <v>0</v>
      </c>
    </row>
    <row r="185" spans="1:9" ht="15">
      <c r="A185" s="15">
        <v>98</v>
      </c>
      <c r="B185" s="15">
        <v>23</v>
      </c>
      <c r="C185" s="19" t="s">
        <v>116</v>
      </c>
      <c r="D185" s="5">
        <v>1500</v>
      </c>
      <c r="E185" s="5">
        <v>40000</v>
      </c>
      <c r="F185" s="6">
        <f t="shared" si="10"/>
        <v>41500</v>
      </c>
      <c r="G185" s="5"/>
      <c r="H185" s="5"/>
      <c r="I185" s="6">
        <f>SUM(G185:H185)</f>
        <v>0</v>
      </c>
    </row>
    <row r="186" spans="1:9" ht="15">
      <c r="A186" s="224" t="s">
        <v>5</v>
      </c>
      <c r="B186" s="225"/>
      <c r="C186" s="225"/>
      <c r="D186" s="7">
        <f>SUM(D163:D185)</f>
        <v>27295714</v>
      </c>
      <c r="E186" s="7">
        <f>SUM(E163:E185)</f>
        <v>1771500</v>
      </c>
      <c r="F186" s="7">
        <f>SUM(D186:E186)</f>
        <v>29067214</v>
      </c>
      <c r="G186" s="7">
        <f>SUM(G163:G185)</f>
        <v>28078769</v>
      </c>
      <c r="H186" s="7">
        <f>SUM(H163:H185)</f>
        <v>2028500</v>
      </c>
      <c r="I186" s="7">
        <f>SUM(G186:H186)</f>
        <v>30107269</v>
      </c>
    </row>
    <row r="187" spans="1:9" ht="15">
      <c r="A187" s="224" t="s">
        <v>117</v>
      </c>
      <c r="B187" s="225"/>
      <c r="C187" s="225"/>
      <c r="D187" s="225"/>
      <c r="E187" s="225"/>
      <c r="F187" s="225"/>
      <c r="G187" s="225"/>
      <c r="H187" s="225"/>
      <c r="I187" s="226"/>
    </row>
    <row r="188" spans="1:9" ht="15">
      <c r="A188" s="15">
        <v>99</v>
      </c>
      <c r="B188" s="15">
        <v>1</v>
      </c>
      <c r="C188" s="10" t="s">
        <v>118</v>
      </c>
      <c r="D188" s="5"/>
      <c r="E188" s="5">
        <v>50000</v>
      </c>
      <c r="F188" s="6">
        <f>SUM(D188:E188)</f>
        <v>50000</v>
      </c>
      <c r="G188" s="5"/>
      <c r="H188" s="5"/>
      <c r="I188" s="6">
        <f>SUM(G188:H188)</f>
        <v>0</v>
      </c>
    </row>
    <row r="189" spans="1:9" ht="15">
      <c r="A189" s="15">
        <v>100</v>
      </c>
      <c r="B189" s="15">
        <v>2</v>
      </c>
      <c r="C189" s="17" t="s">
        <v>119</v>
      </c>
      <c r="D189" s="5">
        <v>374475</v>
      </c>
      <c r="E189" s="5">
        <v>72200</v>
      </c>
      <c r="F189" s="6">
        <f aca="true" t="shared" si="12" ref="F189:F240">SUM(D189:E189)</f>
        <v>446675</v>
      </c>
      <c r="G189" s="5">
        <v>374475</v>
      </c>
      <c r="H189" s="5">
        <v>72200</v>
      </c>
      <c r="I189" s="6">
        <f aca="true" t="shared" si="13" ref="I189:I197">SUM(G189:H189)</f>
        <v>446675</v>
      </c>
    </row>
    <row r="190" spans="1:9" ht="15">
      <c r="A190" s="15">
        <v>101</v>
      </c>
      <c r="B190" s="15">
        <v>3</v>
      </c>
      <c r="C190" s="17" t="s">
        <v>120</v>
      </c>
      <c r="D190" s="5"/>
      <c r="E190" s="5">
        <v>80000</v>
      </c>
      <c r="F190" s="6">
        <f t="shared" si="12"/>
        <v>80000</v>
      </c>
      <c r="G190" s="5"/>
      <c r="H190" s="5"/>
      <c r="I190" s="6">
        <f t="shared" si="13"/>
        <v>0</v>
      </c>
    </row>
    <row r="191" spans="1:9" ht="15">
      <c r="A191" s="15">
        <v>102</v>
      </c>
      <c r="B191" s="15">
        <v>4</v>
      </c>
      <c r="C191" s="10" t="s">
        <v>121</v>
      </c>
      <c r="D191" s="5">
        <v>512000</v>
      </c>
      <c r="E191" s="5">
        <v>40000</v>
      </c>
      <c r="F191" s="6">
        <f t="shared" si="12"/>
        <v>552000</v>
      </c>
      <c r="G191" s="5"/>
      <c r="H191" s="5"/>
      <c r="I191" s="6">
        <f t="shared" si="13"/>
        <v>0</v>
      </c>
    </row>
    <row r="192" spans="1:9" ht="15">
      <c r="A192" s="15">
        <v>103</v>
      </c>
      <c r="B192" s="15">
        <v>5</v>
      </c>
      <c r="C192" s="23" t="s">
        <v>122</v>
      </c>
      <c r="D192" s="5"/>
      <c r="E192" s="5"/>
      <c r="F192" s="6">
        <f t="shared" si="12"/>
        <v>0</v>
      </c>
      <c r="G192" s="5"/>
      <c r="H192" s="5"/>
      <c r="I192" s="6">
        <f t="shared" si="13"/>
        <v>0</v>
      </c>
    </row>
    <row r="193" spans="1:9" ht="15">
      <c r="A193" s="15">
        <v>104</v>
      </c>
      <c r="B193" s="15">
        <v>6</v>
      </c>
      <c r="C193" s="23" t="s">
        <v>123</v>
      </c>
      <c r="D193" s="5">
        <v>195300</v>
      </c>
      <c r="E193" s="5">
        <v>340000</v>
      </c>
      <c r="F193" s="6">
        <f t="shared" si="12"/>
        <v>535300</v>
      </c>
      <c r="G193" s="5">
        <v>195300</v>
      </c>
      <c r="H193" s="5">
        <v>340000</v>
      </c>
      <c r="I193" s="6">
        <f t="shared" si="13"/>
        <v>535300</v>
      </c>
    </row>
    <row r="194" spans="1:9" ht="15">
      <c r="A194" s="15">
        <v>105</v>
      </c>
      <c r="B194" s="15">
        <v>7</v>
      </c>
      <c r="C194" s="23" t="s">
        <v>124</v>
      </c>
      <c r="D194" s="5"/>
      <c r="E194" s="5"/>
      <c r="F194" s="6">
        <f t="shared" si="12"/>
        <v>0</v>
      </c>
      <c r="G194" s="5"/>
      <c r="H194" s="5"/>
      <c r="I194" s="6">
        <f t="shared" si="13"/>
        <v>0</v>
      </c>
    </row>
    <row r="195" spans="1:9" ht="15">
      <c r="A195" s="15">
        <v>106</v>
      </c>
      <c r="B195" s="15">
        <v>8</v>
      </c>
      <c r="C195" s="23" t="s">
        <v>125</v>
      </c>
      <c r="D195" s="5"/>
      <c r="E195" s="5"/>
      <c r="F195" s="6">
        <f t="shared" si="12"/>
        <v>0</v>
      </c>
      <c r="G195" s="5"/>
      <c r="H195" s="5"/>
      <c r="I195" s="6">
        <f t="shared" si="13"/>
        <v>0</v>
      </c>
    </row>
    <row r="196" spans="1:9" ht="15">
      <c r="A196" s="15">
        <v>107</v>
      </c>
      <c r="B196" s="15">
        <v>9</v>
      </c>
      <c r="C196" s="23" t="s">
        <v>126</v>
      </c>
      <c r="D196" s="5"/>
      <c r="E196" s="5"/>
      <c r="F196" s="6">
        <f t="shared" si="12"/>
        <v>0</v>
      </c>
      <c r="G196" s="5"/>
      <c r="H196" s="5"/>
      <c r="I196" s="6">
        <f t="shared" si="13"/>
        <v>0</v>
      </c>
    </row>
    <row r="197" spans="1:9" ht="15">
      <c r="A197" s="15">
        <v>108</v>
      </c>
      <c r="B197" s="15">
        <v>10</v>
      </c>
      <c r="C197" s="23" t="s">
        <v>127</v>
      </c>
      <c r="D197" s="5"/>
      <c r="E197" s="5">
        <f>303000+300000</f>
        <v>603000</v>
      </c>
      <c r="F197" s="6">
        <f t="shared" si="12"/>
        <v>603000</v>
      </c>
      <c r="G197" s="5"/>
      <c r="H197" s="5"/>
      <c r="I197" s="6">
        <f t="shared" si="13"/>
        <v>0</v>
      </c>
    </row>
    <row r="198" spans="1:9" ht="15">
      <c r="A198" s="15">
        <v>109</v>
      </c>
      <c r="B198" s="15">
        <v>11</v>
      </c>
      <c r="C198" s="23" t="s">
        <v>129</v>
      </c>
      <c r="D198" s="5"/>
      <c r="E198" s="5"/>
      <c r="F198" s="6">
        <f>SUM(D198:E198)</f>
        <v>0</v>
      </c>
      <c r="G198" s="5"/>
      <c r="H198" s="5"/>
      <c r="I198" s="6">
        <f>SUM(G198:H198)</f>
        <v>0</v>
      </c>
    </row>
    <row r="199" spans="1:9" ht="15">
      <c r="A199" s="15">
        <v>110</v>
      </c>
      <c r="B199" s="15">
        <v>12</v>
      </c>
      <c r="C199" s="24" t="s">
        <v>128</v>
      </c>
      <c r="D199" s="86"/>
      <c r="E199" s="5">
        <v>400000</v>
      </c>
      <c r="F199" s="6">
        <f>SUM(D199:E199)</f>
        <v>400000</v>
      </c>
      <c r="G199" s="86"/>
      <c r="H199" s="5">
        <v>400000</v>
      </c>
      <c r="I199" s="6">
        <f>SUM(G199:H199)</f>
        <v>400000</v>
      </c>
    </row>
    <row r="200" spans="1:9" ht="15">
      <c r="A200" s="15">
        <v>111</v>
      </c>
      <c r="B200" s="15">
        <v>13</v>
      </c>
      <c r="C200" s="23" t="s">
        <v>130</v>
      </c>
      <c r="D200" s="5"/>
      <c r="E200" s="5"/>
      <c r="F200" s="6">
        <f t="shared" si="12"/>
        <v>0</v>
      </c>
      <c r="G200" s="5"/>
      <c r="H200" s="5"/>
      <c r="I200" s="6">
        <f aca="true" t="shared" si="14" ref="I200:I240">SUM(G200:H200)</f>
        <v>0</v>
      </c>
    </row>
    <row r="201" spans="1:9" ht="15">
      <c r="A201" s="15">
        <v>112</v>
      </c>
      <c r="B201" s="15">
        <v>14</v>
      </c>
      <c r="C201" s="23" t="s">
        <v>131</v>
      </c>
      <c r="D201" s="5"/>
      <c r="E201" s="5"/>
      <c r="F201" s="6">
        <f t="shared" si="12"/>
        <v>0</v>
      </c>
      <c r="G201" s="5">
        <v>550000</v>
      </c>
      <c r="H201" s="5">
        <v>406000</v>
      </c>
      <c r="I201" s="6">
        <f t="shared" si="14"/>
        <v>956000</v>
      </c>
    </row>
    <row r="202" spans="1:9" ht="15">
      <c r="A202" s="15">
        <v>113</v>
      </c>
      <c r="B202" s="15">
        <v>15</v>
      </c>
      <c r="C202" s="23" t="s">
        <v>132</v>
      </c>
      <c r="D202" s="5"/>
      <c r="E202" s="5">
        <v>46000</v>
      </c>
      <c r="F202" s="6">
        <f t="shared" si="12"/>
        <v>46000</v>
      </c>
      <c r="G202" s="5"/>
      <c r="H202" s="5">
        <v>46000</v>
      </c>
      <c r="I202" s="6">
        <f t="shared" si="14"/>
        <v>46000</v>
      </c>
    </row>
    <row r="203" spans="1:9" ht="15">
      <c r="A203" s="15">
        <v>114</v>
      </c>
      <c r="B203" s="15">
        <v>16</v>
      </c>
      <c r="C203" s="23" t="s">
        <v>133</v>
      </c>
      <c r="D203" s="5"/>
      <c r="E203" s="5"/>
      <c r="F203" s="6">
        <f t="shared" si="12"/>
        <v>0</v>
      </c>
      <c r="G203" s="5"/>
      <c r="H203" s="5"/>
      <c r="I203" s="6">
        <f t="shared" si="14"/>
        <v>0</v>
      </c>
    </row>
    <row r="204" spans="1:9" ht="15">
      <c r="A204" s="15">
        <v>115</v>
      </c>
      <c r="B204" s="15">
        <v>17</v>
      </c>
      <c r="C204" s="23" t="s">
        <v>134</v>
      </c>
      <c r="D204" s="5"/>
      <c r="E204" s="5">
        <v>17000</v>
      </c>
      <c r="F204" s="6">
        <f t="shared" si="12"/>
        <v>17000</v>
      </c>
      <c r="G204" s="5"/>
      <c r="H204" s="5">
        <v>17000</v>
      </c>
      <c r="I204" s="6">
        <f t="shared" si="14"/>
        <v>17000</v>
      </c>
    </row>
    <row r="205" spans="1:9" ht="15">
      <c r="A205" s="15">
        <v>116</v>
      </c>
      <c r="B205" s="15">
        <v>18</v>
      </c>
      <c r="C205" s="23" t="s">
        <v>135</v>
      </c>
      <c r="D205" s="5"/>
      <c r="E205" s="5"/>
      <c r="F205" s="6">
        <f t="shared" si="12"/>
        <v>0</v>
      </c>
      <c r="G205" s="5"/>
      <c r="H205" s="5"/>
      <c r="I205" s="6">
        <f t="shared" si="14"/>
        <v>0</v>
      </c>
    </row>
    <row r="206" spans="1:9" ht="15">
      <c r="A206" s="15">
        <v>117</v>
      </c>
      <c r="B206" s="15">
        <v>19</v>
      </c>
      <c r="C206" s="23" t="s">
        <v>136</v>
      </c>
      <c r="D206" s="5"/>
      <c r="E206" s="5">
        <v>182000</v>
      </c>
      <c r="F206" s="6">
        <f t="shared" si="12"/>
        <v>182000</v>
      </c>
      <c r="G206" s="5"/>
      <c r="H206" s="5">
        <v>182000</v>
      </c>
      <c r="I206" s="6">
        <f t="shared" si="14"/>
        <v>182000</v>
      </c>
    </row>
    <row r="207" spans="1:9" ht="15">
      <c r="A207" s="15">
        <v>118</v>
      </c>
      <c r="B207" s="15">
        <v>20</v>
      </c>
      <c r="C207" s="23" t="s">
        <v>137</v>
      </c>
      <c r="D207" s="5"/>
      <c r="E207" s="5"/>
      <c r="F207" s="6">
        <f t="shared" si="12"/>
        <v>0</v>
      </c>
      <c r="G207" s="5"/>
      <c r="H207" s="5"/>
      <c r="I207" s="6">
        <f t="shared" si="14"/>
        <v>0</v>
      </c>
    </row>
    <row r="208" spans="1:9" ht="15">
      <c r="A208" s="15">
        <v>119</v>
      </c>
      <c r="B208" s="15">
        <v>21</v>
      </c>
      <c r="C208" s="23" t="s">
        <v>138</v>
      </c>
      <c r="D208" s="5"/>
      <c r="E208" s="5">
        <v>420000</v>
      </c>
      <c r="F208" s="6">
        <f t="shared" si="12"/>
        <v>420000</v>
      </c>
      <c r="G208" s="5"/>
      <c r="H208" s="5">
        <v>145000</v>
      </c>
      <c r="I208" s="6">
        <f t="shared" si="14"/>
        <v>145000</v>
      </c>
    </row>
    <row r="209" spans="1:9" ht="15">
      <c r="A209" s="15">
        <v>120</v>
      </c>
      <c r="B209" s="15">
        <v>22</v>
      </c>
      <c r="C209" s="23" t="s">
        <v>139</v>
      </c>
      <c r="D209" s="5"/>
      <c r="E209" s="5">
        <v>170000</v>
      </c>
      <c r="F209" s="6">
        <f t="shared" si="12"/>
        <v>170000</v>
      </c>
      <c r="G209" s="5"/>
      <c r="H209" s="5">
        <v>165000</v>
      </c>
      <c r="I209" s="6">
        <f t="shared" si="14"/>
        <v>165000</v>
      </c>
    </row>
    <row r="210" spans="1:9" ht="15">
      <c r="A210" s="15">
        <v>121</v>
      </c>
      <c r="B210" s="15">
        <v>23</v>
      </c>
      <c r="C210" s="23" t="s">
        <v>140</v>
      </c>
      <c r="D210" s="5"/>
      <c r="E210" s="5"/>
      <c r="F210" s="6">
        <f t="shared" si="12"/>
        <v>0</v>
      </c>
      <c r="G210" s="5"/>
      <c r="H210" s="5"/>
      <c r="I210" s="6">
        <f t="shared" si="14"/>
        <v>0</v>
      </c>
    </row>
    <row r="211" spans="1:9" ht="15">
      <c r="A211" s="15">
        <v>122</v>
      </c>
      <c r="B211" s="15">
        <v>24</v>
      </c>
      <c r="C211" s="23" t="s">
        <v>141</v>
      </c>
      <c r="D211" s="5">
        <v>154000</v>
      </c>
      <c r="E211" s="5">
        <v>670000</v>
      </c>
      <c r="F211" s="6">
        <f t="shared" si="12"/>
        <v>824000</v>
      </c>
      <c r="G211" s="5">
        <v>154000</v>
      </c>
      <c r="H211" s="5">
        <v>670000</v>
      </c>
      <c r="I211" s="6">
        <f t="shared" si="14"/>
        <v>824000</v>
      </c>
    </row>
    <row r="212" spans="1:9" ht="15">
      <c r="A212" s="15">
        <v>123</v>
      </c>
      <c r="B212" s="15">
        <v>25</v>
      </c>
      <c r="C212" s="23" t="s">
        <v>142</v>
      </c>
      <c r="D212" s="5">
        <v>496000</v>
      </c>
      <c r="E212" s="5">
        <v>100000</v>
      </c>
      <c r="F212" s="6">
        <f t="shared" si="12"/>
        <v>596000</v>
      </c>
      <c r="G212" s="5">
        <v>496000</v>
      </c>
      <c r="H212" s="5"/>
      <c r="I212" s="6">
        <f t="shared" si="14"/>
        <v>496000</v>
      </c>
    </row>
    <row r="213" spans="1:9" ht="15">
      <c r="A213" s="15">
        <v>124</v>
      </c>
      <c r="B213" s="15">
        <v>26</v>
      </c>
      <c r="C213" s="23" t="s">
        <v>143</v>
      </c>
      <c r="D213" s="5"/>
      <c r="E213" s="5"/>
      <c r="F213" s="6">
        <f t="shared" si="12"/>
        <v>0</v>
      </c>
      <c r="G213" s="5"/>
      <c r="H213" s="5"/>
      <c r="I213" s="6">
        <f t="shared" si="14"/>
        <v>0</v>
      </c>
    </row>
    <row r="214" spans="1:9" ht="15">
      <c r="A214" s="15">
        <v>125</v>
      </c>
      <c r="B214" s="15">
        <v>27</v>
      </c>
      <c r="C214" s="23" t="s">
        <v>144</v>
      </c>
      <c r="D214" s="5">
        <v>830000</v>
      </c>
      <c r="E214" s="5"/>
      <c r="F214" s="6">
        <f t="shared" si="12"/>
        <v>830000</v>
      </c>
      <c r="G214" s="5"/>
      <c r="H214" s="5"/>
      <c r="I214" s="6">
        <f t="shared" si="14"/>
        <v>0</v>
      </c>
    </row>
    <row r="215" spans="1:9" ht="15">
      <c r="A215" s="15">
        <v>126</v>
      </c>
      <c r="B215" s="15">
        <v>28</v>
      </c>
      <c r="C215" s="23" t="s">
        <v>145</v>
      </c>
      <c r="D215" s="5"/>
      <c r="E215" s="5"/>
      <c r="F215" s="6">
        <f t="shared" si="12"/>
        <v>0</v>
      </c>
      <c r="G215" s="5"/>
      <c r="H215" s="5"/>
      <c r="I215" s="6">
        <f t="shared" si="14"/>
        <v>0</v>
      </c>
    </row>
    <row r="216" spans="1:9" ht="15">
      <c r="A216" s="15">
        <v>127</v>
      </c>
      <c r="B216" s="15">
        <v>29</v>
      </c>
      <c r="C216" s="23" t="s">
        <v>146</v>
      </c>
      <c r="D216" s="5"/>
      <c r="E216" s="5"/>
      <c r="F216" s="6">
        <f t="shared" si="12"/>
        <v>0</v>
      </c>
      <c r="G216" s="5"/>
      <c r="H216" s="5"/>
      <c r="I216" s="6">
        <f t="shared" si="14"/>
        <v>0</v>
      </c>
    </row>
    <row r="217" spans="1:9" ht="15">
      <c r="A217" s="15">
        <v>128</v>
      </c>
      <c r="B217" s="15">
        <v>30</v>
      </c>
      <c r="C217" s="23" t="s">
        <v>147</v>
      </c>
      <c r="D217" s="5"/>
      <c r="E217" s="5"/>
      <c r="F217" s="6">
        <f t="shared" si="12"/>
        <v>0</v>
      </c>
      <c r="G217" s="5"/>
      <c r="H217" s="5"/>
      <c r="I217" s="6">
        <f t="shared" si="14"/>
        <v>0</v>
      </c>
    </row>
    <row r="218" spans="1:9" ht="15">
      <c r="A218" s="15">
        <v>129</v>
      </c>
      <c r="B218" s="15">
        <v>31</v>
      </c>
      <c r="C218" s="23" t="s">
        <v>148</v>
      </c>
      <c r="D218" s="5">
        <v>775000</v>
      </c>
      <c r="E218" s="5"/>
      <c r="F218" s="6">
        <f t="shared" si="12"/>
        <v>775000</v>
      </c>
      <c r="G218" s="5"/>
      <c r="H218" s="5"/>
      <c r="I218" s="6">
        <f t="shared" si="14"/>
        <v>0</v>
      </c>
    </row>
    <row r="219" spans="1:9" ht="15">
      <c r="A219" s="15">
        <v>130</v>
      </c>
      <c r="B219" s="15">
        <v>32</v>
      </c>
      <c r="C219" s="23" t="s">
        <v>149</v>
      </c>
      <c r="D219" s="5"/>
      <c r="E219" s="5">
        <v>110000</v>
      </c>
      <c r="F219" s="6">
        <f t="shared" si="12"/>
        <v>110000</v>
      </c>
      <c r="G219" s="5"/>
      <c r="H219" s="5">
        <v>110000</v>
      </c>
      <c r="I219" s="6">
        <f t="shared" si="14"/>
        <v>110000</v>
      </c>
    </row>
    <row r="220" spans="1:9" ht="15">
      <c r="A220" s="15">
        <v>131</v>
      </c>
      <c r="B220" s="15">
        <v>33</v>
      </c>
      <c r="C220" s="23" t="s">
        <v>150</v>
      </c>
      <c r="D220" s="5"/>
      <c r="E220" s="5"/>
      <c r="F220" s="6">
        <f t="shared" si="12"/>
        <v>0</v>
      </c>
      <c r="G220" s="5">
        <v>82000</v>
      </c>
      <c r="H220" s="5"/>
      <c r="I220" s="6">
        <f t="shared" si="14"/>
        <v>82000</v>
      </c>
    </row>
    <row r="221" spans="1:9" ht="15">
      <c r="A221" s="15">
        <v>132</v>
      </c>
      <c r="B221" s="15">
        <v>34</v>
      </c>
      <c r="C221" s="23" t="s">
        <v>151</v>
      </c>
      <c r="D221" s="5"/>
      <c r="E221" s="5"/>
      <c r="F221" s="6">
        <f t="shared" si="12"/>
        <v>0</v>
      </c>
      <c r="G221" s="5"/>
      <c r="H221" s="5"/>
      <c r="I221" s="6">
        <f t="shared" si="14"/>
        <v>0</v>
      </c>
    </row>
    <row r="222" spans="1:9" ht="15">
      <c r="A222" s="15">
        <v>133</v>
      </c>
      <c r="B222" s="15">
        <v>35</v>
      </c>
      <c r="C222" s="23" t="s">
        <v>152</v>
      </c>
      <c r="D222" s="5"/>
      <c r="E222" s="5"/>
      <c r="F222" s="6">
        <f t="shared" si="12"/>
        <v>0</v>
      </c>
      <c r="G222" s="5"/>
      <c r="H222" s="5"/>
      <c r="I222" s="6">
        <f t="shared" si="14"/>
        <v>0</v>
      </c>
    </row>
    <row r="223" spans="1:9" ht="15">
      <c r="A223" s="15">
        <v>134</v>
      </c>
      <c r="B223" s="15">
        <v>36</v>
      </c>
      <c r="C223" s="23" t="s">
        <v>153</v>
      </c>
      <c r="D223" s="5"/>
      <c r="E223" s="5"/>
      <c r="F223" s="6">
        <f t="shared" si="12"/>
        <v>0</v>
      </c>
      <c r="G223" s="5"/>
      <c r="H223" s="5"/>
      <c r="I223" s="6">
        <f t="shared" si="14"/>
        <v>0</v>
      </c>
    </row>
    <row r="224" spans="1:9" ht="15">
      <c r="A224" s="15">
        <v>135</v>
      </c>
      <c r="B224" s="15">
        <v>37</v>
      </c>
      <c r="C224" s="23" t="s">
        <v>154</v>
      </c>
      <c r="D224" s="5"/>
      <c r="E224" s="5"/>
      <c r="F224" s="6">
        <f t="shared" si="12"/>
        <v>0</v>
      </c>
      <c r="G224" s="5"/>
      <c r="H224" s="5"/>
      <c r="I224" s="6">
        <f t="shared" si="14"/>
        <v>0</v>
      </c>
    </row>
    <row r="225" spans="1:9" ht="15">
      <c r="A225" s="15">
        <v>136</v>
      </c>
      <c r="B225" s="15">
        <v>38</v>
      </c>
      <c r="C225" s="23" t="s">
        <v>155</v>
      </c>
      <c r="D225" s="5"/>
      <c r="E225" s="5"/>
      <c r="F225" s="6">
        <f t="shared" si="12"/>
        <v>0</v>
      </c>
      <c r="G225" s="5"/>
      <c r="H225" s="5"/>
      <c r="I225" s="6">
        <f t="shared" si="14"/>
        <v>0</v>
      </c>
    </row>
    <row r="226" spans="1:9" ht="15">
      <c r="A226" s="15">
        <v>137</v>
      </c>
      <c r="B226" s="15">
        <v>39</v>
      </c>
      <c r="C226" s="23" t="s">
        <v>156</v>
      </c>
      <c r="D226" s="5"/>
      <c r="E226" s="5">
        <v>320000</v>
      </c>
      <c r="F226" s="6">
        <f t="shared" si="12"/>
        <v>320000</v>
      </c>
      <c r="G226" s="5"/>
      <c r="H226" s="5">
        <v>320000</v>
      </c>
      <c r="I226" s="6">
        <f t="shared" si="14"/>
        <v>320000</v>
      </c>
    </row>
    <row r="227" spans="1:9" ht="15">
      <c r="A227" s="15">
        <v>138</v>
      </c>
      <c r="B227" s="15">
        <v>40</v>
      </c>
      <c r="C227" s="23" t="s">
        <v>157</v>
      </c>
      <c r="D227" s="5"/>
      <c r="E227" s="5"/>
      <c r="F227" s="6">
        <f t="shared" si="12"/>
        <v>0</v>
      </c>
      <c r="G227" s="5"/>
      <c r="H227" s="5"/>
      <c r="I227" s="6">
        <f t="shared" si="14"/>
        <v>0</v>
      </c>
    </row>
    <row r="228" spans="1:9" ht="15">
      <c r="A228" s="15">
        <v>139</v>
      </c>
      <c r="B228" s="15">
        <v>41</v>
      </c>
      <c r="C228" s="23" t="s">
        <v>158</v>
      </c>
      <c r="D228" s="5"/>
      <c r="E228" s="5"/>
      <c r="F228" s="6">
        <f t="shared" si="12"/>
        <v>0</v>
      </c>
      <c r="G228" s="5"/>
      <c r="H228" s="5"/>
      <c r="I228" s="6">
        <f t="shared" si="14"/>
        <v>0</v>
      </c>
    </row>
    <row r="229" spans="1:9" ht="15">
      <c r="A229" s="15">
        <v>140</v>
      </c>
      <c r="B229" s="15">
        <v>42</v>
      </c>
      <c r="C229" s="23" t="s">
        <v>159</v>
      </c>
      <c r="D229" s="5"/>
      <c r="E229" s="5"/>
      <c r="F229" s="6">
        <f t="shared" si="12"/>
        <v>0</v>
      </c>
      <c r="G229" s="5"/>
      <c r="H229" s="5"/>
      <c r="I229" s="6">
        <f t="shared" si="14"/>
        <v>0</v>
      </c>
    </row>
    <row r="230" spans="1:9" ht="15">
      <c r="A230" s="15">
        <v>141</v>
      </c>
      <c r="B230" s="15">
        <v>43</v>
      </c>
      <c r="C230" s="23" t="s">
        <v>160</v>
      </c>
      <c r="D230" s="5"/>
      <c r="E230" s="5"/>
      <c r="F230" s="6">
        <f t="shared" si="12"/>
        <v>0</v>
      </c>
      <c r="G230" s="5"/>
      <c r="H230" s="5"/>
      <c r="I230" s="6">
        <f t="shared" si="14"/>
        <v>0</v>
      </c>
    </row>
    <row r="231" spans="1:9" ht="15">
      <c r="A231" s="15">
        <v>142</v>
      </c>
      <c r="B231" s="15">
        <v>44</v>
      </c>
      <c r="C231" s="23" t="s">
        <v>161</v>
      </c>
      <c r="D231" s="5"/>
      <c r="E231" s="5"/>
      <c r="F231" s="6">
        <f t="shared" si="12"/>
        <v>0</v>
      </c>
      <c r="G231" s="5"/>
      <c r="H231" s="5"/>
      <c r="I231" s="6">
        <f t="shared" si="14"/>
        <v>0</v>
      </c>
    </row>
    <row r="232" spans="1:9" ht="15">
      <c r="A232" s="15">
        <v>143</v>
      </c>
      <c r="B232" s="15">
        <v>45</v>
      </c>
      <c r="C232" s="23" t="s">
        <v>246</v>
      </c>
      <c r="D232" s="5"/>
      <c r="E232" s="5"/>
      <c r="F232" s="6">
        <f>SUM(D232:E232)</f>
        <v>0</v>
      </c>
      <c r="G232" s="5"/>
      <c r="H232" s="5"/>
      <c r="I232" s="6">
        <f>SUM(G232:H232)</f>
        <v>0</v>
      </c>
    </row>
    <row r="233" spans="1:9" ht="15">
      <c r="A233" s="15">
        <v>144</v>
      </c>
      <c r="B233" s="15">
        <v>46</v>
      </c>
      <c r="C233" s="23" t="s">
        <v>169</v>
      </c>
      <c r="D233" s="5"/>
      <c r="E233" s="5"/>
      <c r="F233" s="6">
        <f>SUM(D233:E233)</f>
        <v>0</v>
      </c>
      <c r="G233" s="5"/>
      <c r="H233" s="5"/>
      <c r="I233" s="6">
        <f>SUM(G233:H233)</f>
        <v>0</v>
      </c>
    </row>
    <row r="234" spans="1:9" ht="15">
      <c r="A234" s="15">
        <v>145</v>
      </c>
      <c r="B234" s="15">
        <v>47</v>
      </c>
      <c r="C234" s="25" t="s">
        <v>170</v>
      </c>
      <c r="D234" s="5">
        <v>1000000</v>
      </c>
      <c r="E234" s="5"/>
      <c r="F234" s="6">
        <f>SUM(D234:E234)</f>
        <v>1000000</v>
      </c>
      <c r="G234" s="5">
        <v>1000000</v>
      </c>
      <c r="H234" s="5"/>
      <c r="I234" s="6">
        <f>SUM(G234:H234)</f>
        <v>1000000</v>
      </c>
    </row>
    <row r="235" spans="1:9" ht="15">
      <c r="A235" s="15">
        <v>146</v>
      </c>
      <c r="B235" s="15">
        <v>48</v>
      </c>
      <c r="C235" s="23" t="s">
        <v>162</v>
      </c>
      <c r="D235" s="5"/>
      <c r="E235" s="5"/>
      <c r="F235" s="6">
        <f t="shared" si="12"/>
        <v>0</v>
      </c>
      <c r="G235" s="5"/>
      <c r="H235" s="5"/>
      <c r="I235" s="6">
        <f t="shared" si="14"/>
        <v>0</v>
      </c>
    </row>
    <row r="236" spans="1:9" ht="15">
      <c r="A236" s="15">
        <v>147</v>
      </c>
      <c r="B236" s="15">
        <v>49</v>
      </c>
      <c r="C236" s="23" t="s">
        <v>165</v>
      </c>
      <c r="D236" s="5"/>
      <c r="E236" s="5"/>
      <c r="F236" s="6">
        <f t="shared" si="12"/>
        <v>0</v>
      </c>
      <c r="G236" s="5">
        <v>1000000</v>
      </c>
      <c r="H236" s="5"/>
      <c r="I236" s="6">
        <f t="shared" si="14"/>
        <v>1000000</v>
      </c>
    </row>
    <row r="237" spans="1:9" ht="15">
      <c r="A237" s="15">
        <v>148</v>
      </c>
      <c r="B237" s="15">
        <v>50</v>
      </c>
      <c r="C237" s="23" t="s">
        <v>166</v>
      </c>
      <c r="D237" s="5"/>
      <c r="E237" s="5"/>
      <c r="F237" s="6">
        <f t="shared" si="12"/>
        <v>0</v>
      </c>
      <c r="G237" s="5">
        <v>1500000</v>
      </c>
      <c r="H237" s="5"/>
      <c r="I237" s="6">
        <f t="shared" si="14"/>
        <v>1500000</v>
      </c>
    </row>
    <row r="238" spans="1:9" ht="15">
      <c r="A238" s="15">
        <v>149</v>
      </c>
      <c r="B238" s="15">
        <v>51</v>
      </c>
      <c r="C238" s="23" t="s">
        <v>167</v>
      </c>
      <c r="D238" s="5">
        <f>1000000+3060000</f>
        <v>4060000</v>
      </c>
      <c r="E238" s="5"/>
      <c r="F238" s="6">
        <f t="shared" si="12"/>
        <v>4060000</v>
      </c>
      <c r="G238" s="5">
        <f>500000+3644136</f>
        <v>4144136</v>
      </c>
      <c r="H238" s="5"/>
      <c r="I238" s="6">
        <f t="shared" si="14"/>
        <v>4144136</v>
      </c>
    </row>
    <row r="239" spans="1:9" ht="15">
      <c r="A239" s="15">
        <v>150</v>
      </c>
      <c r="B239" s="15">
        <v>52</v>
      </c>
      <c r="C239" s="23" t="s">
        <v>168</v>
      </c>
      <c r="D239" s="5"/>
      <c r="E239" s="5"/>
      <c r="F239" s="6">
        <f t="shared" si="12"/>
        <v>0</v>
      </c>
      <c r="G239" s="5">
        <v>2000000</v>
      </c>
      <c r="H239" s="5"/>
      <c r="I239" s="6">
        <f t="shared" si="14"/>
        <v>2000000</v>
      </c>
    </row>
    <row r="240" spans="1:9" ht="15">
      <c r="A240" s="15">
        <v>151</v>
      </c>
      <c r="B240" s="15">
        <v>53</v>
      </c>
      <c r="C240" s="23" t="s">
        <v>494</v>
      </c>
      <c r="D240" s="5">
        <v>391000</v>
      </c>
      <c r="E240" s="5"/>
      <c r="F240" s="6">
        <f t="shared" si="12"/>
        <v>391000</v>
      </c>
      <c r="G240" s="5">
        <v>391000</v>
      </c>
      <c r="H240" s="5"/>
      <c r="I240" s="6">
        <f t="shared" si="14"/>
        <v>391000</v>
      </c>
    </row>
    <row r="241" spans="1:11" ht="15">
      <c r="A241" s="15">
        <v>152</v>
      </c>
      <c r="B241" s="15">
        <v>54</v>
      </c>
      <c r="C241" s="23" t="s">
        <v>617</v>
      </c>
      <c r="D241" s="5"/>
      <c r="E241" s="5"/>
      <c r="F241" s="6"/>
      <c r="G241" s="5">
        <v>7419790</v>
      </c>
      <c r="H241" s="5"/>
      <c r="I241" s="6"/>
      <c r="K241" s="118"/>
    </row>
    <row r="242" spans="1:9" ht="15">
      <c r="A242" s="15">
        <v>153</v>
      </c>
      <c r="B242" s="15">
        <v>55</v>
      </c>
      <c r="C242" s="23" t="s">
        <v>163</v>
      </c>
      <c r="D242" s="5"/>
      <c r="E242" s="5"/>
      <c r="F242" s="6">
        <f>SUM(D242:E242)</f>
        <v>0</v>
      </c>
      <c r="G242" s="5">
        <f>750000+750000</f>
        <v>1500000</v>
      </c>
      <c r="H242" s="5"/>
      <c r="I242" s="6">
        <f>SUM(G242:H242)</f>
        <v>1500000</v>
      </c>
    </row>
    <row r="243" spans="1:9" ht="15">
      <c r="A243" s="15">
        <v>154</v>
      </c>
      <c r="B243" s="15">
        <v>56</v>
      </c>
      <c r="C243" s="23" t="s">
        <v>164</v>
      </c>
      <c r="D243" s="5">
        <v>350000</v>
      </c>
      <c r="E243" s="5"/>
      <c r="F243" s="6">
        <f>SUM(D243:E243)</f>
        <v>350000</v>
      </c>
      <c r="G243" s="5"/>
      <c r="H243" s="5"/>
      <c r="I243" s="6">
        <f>SUM(G243:H243)</f>
        <v>0</v>
      </c>
    </row>
    <row r="244" spans="1:9" ht="15">
      <c r="A244" s="15">
        <v>155</v>
      </c>
      <c r="B244" s="15">
        <v>57</v>
      </c>
      <c r="C244" s="23" t="s">
        <v>247</v>
      </c>
      <c r="D244" s="5"/>
      <c r="E244" s="5"/>
      <c r="F244" s="6">
        <f>SUM(D244:E244)</f>
        <v>0</v>
      </c>
      <c r="G244" s="5"/>
      <c r="H244" s="5"/>
      <c r="I244" s="6">
        <f>SUM(G244:H244)</f>
        <v>0</v>
      </c>
    </row>
    <row r="245" spans="1:9" ht="15">
      <c r="A245" s="239" t="s">
        <v>5</v>
      </c>
      <c r="B245" s="239"/>
      <c r="C245" s="239"/>
      <c r="D245" s="7">
        <f>SUM(D188:D244)</f>
        <v>9137775</v>
      </c>
      <c r="E245" s="7">
        <f>SUM(E188:E244)</f>
        <v>3620200</v>
      </c>
      <c r="F245" s="7">
        <f>SUM(D245:E245)</f>
        <v>12757975</v>
      </c>
      <c r="G245" s="7">
        <f>SUM(G188:G244)</f>
        <v>20806701</v>
      </c>
      <c r="H245" s="7">
        <f>SUM(H188:H244)</f>
        <v>2873200</v>
      </c>
      <c r="I245" s="7">
        <f>SUM(G245:H245)</f>
        <v>23679901</v>
      </c>
    </row>
    <row r="246" spans="1:9" ht="15">
      <c r="A246" s="224" t="s">
        <v>575</v>
      </c>
      <c r="B246" s="225"/>
      <c r="C246" s="225"/>
      <c r="D246" s="225"/>
      <c r="E246" s="225"/>
      <c r="F246" s="225"/>
      <c r="G246" s="225"/>
      <c r="H246" s="225"/>
      <c r="I246" s="226"/>
    </row>
    <row r="247" spans="1:9" ht="15">
      <c r="A247" s="15">
        <v>155</v>
      </c>
      <c r="B247" s="15">
        <v>1</v>
      </c>
      <c r="C247" s="20" t="s">
        <v>574</v>
      </c>
      <c r="D247" s="5">
        <v>5356424</v>
      </c>
      <c r="E247" s="5">
        <v>1304500</v>
      </c>
      <c r="F247" s="6">
        <f>SUM(D247:E247)</f>
        <v>6660924</v>
      </c>
      <c r="G247" s="5">
        <v>6787439</v>
      </c>
      <c r="H247" s="5">
        <v>2091000</v>
      </c>
      <c r="I247" s="6">
        <f>SUM(G247:H247)</f>
        <v>8878439</v>
      </c>
    </row>
    <row r="248" spans="1:9" ht="15">
      <c r="A248" s="15">
        <v>156</v>
      </c>
      <c r="B248" s="79">
        <v>2</v>
      </c>
      <c r="C248" s="96" t="s">
        <v>250</v>
      </c>
      <c r="D248" s="5"/>
      <c r="E248" s="5"/>
      <c r="F248" s="6">
        <f>SUM(D248:E248)</f>
        <v>0</v>
      </c>
      <c r="G248" s="5"/>
      <c r="H248" s="5"/>
      <c r="I248" s="6">
        <f>SUM(G248:H248)</f>
        <v>0</v>
      </c>
    </row>
    <row r="249" spans="1:9" ht="15">
      <c r="A249" s="224" t="s">
        <v>42</v>
      </c>
      <c r="B249" s="225"/>
      <c r="C249" s="225"/>
      <c r="D249" s="7">
        <f>D247</f>
        <v>5356424</v>
      </c>
      <c r="E249" s="7">
        <f>E247</f>
        <v>1304500</v>
      </c>
      <c r="F249" s="7">
        <f>SUM(D249:E249)</f>
        <v>6660924</v>
      </c>
      <c r="G249" s="7">
        <f>SUM(G247:G248)</f>
        <v>6787439</v>
      </c>
      <c r="H249" s="7">
        <f>SUM(H247:H248)</f>
        <v>2091000</v>
      </c>
      <c r="I249" s="7">
        <f>SUM(G249:H249)</f>
        <v>8878439</v>
      </c>
    </row>
    <row r="250" spans="1:9" ht="15">
      <c r="A250" s="224" t="s">
        <v>173</v>
      </c>
      <c r="B250" s="225"/>
      <c r="C250" s="225"/>
      <c r="D250" s="225"/>
      <c r="E250" s="225"/>
      <c r="F250" s="225"/>
      <c r="G250" s="225"/>
      <c r="H250" s="225"/>
      <c r="I250" s="226"/>
    </row>
    <row r="251" spans="1:9" ht="15">
      <c r="A251" s="15">
        <v>157</v>
      </c>
      <c r="B251" s="15">
        <v>1</v>
      </c>
      <c r="C251" s="26" t="s">
        <v>174</v>
      </c>
      <c r="D251" s="5"/>
      <c r="E251" s="27"/>
      <c r="F251" s="6">
        <f>SUM(D251:E251)</f>
        <v>0</v>
      </c>
      <c r="G251" s="5"/>
      <c r="H251" s="27"/>
      <c r="I251" s="6">
        <f>SUM(G251:H251)</f>
        <v>0</v>
      </c>
    </row>
    <row r="252" spans="1:9" ht="15">
      <c r="A252" s="15">
        <v>158</v>
      </c>
      <c r="B252" s="15">
        <v>2</v>
      </c>
      <c r="C252" s="28" t="s">
        <v>175</v>
      </c>
      <c r="D252" s="5"/>
      <c r="E252" s="27">
        <v>1500000</v>
      </c>
      <c r="F252" s="6">
        <f>D252+E252</f>
        <v>1500000</v>
      </c>
      <c r="G252" s="5"/>
      <c r="H252" s="27">
        <v>1500000</v>
      </c>
      <c r="I252" s="6">
        <f>G252+H252</f>
        <v>1500000</v>
      </c>
    </row>
    <row r="253" spans="1:9" ht="15">
      <c r="A253" s="224" t="s">
        <v>42</v>
      </c>
      <c r="B253" s="225"/>
      <c r="C253" s="225"/>
      <c r="D253" s="7">
        <f>SUM(D251:D252)</f>
        <v>0</v>
      </c>
      <c r="E253" s="7">
        <f>SUM(E251:E252)</f>
        <v>1500000</v>
      </c>
      <c r="F253" s="7">
        <f>SUM(D253:E253)</f>
        <v>1500000</v>
      </c>
      <c r="G253" s="7">
        <f>SUM(G251:G252)</f>
        <v>0</v>
      </c>
      <c r="H253" s="7">
        <f>SUM(H251:H252)</f>
        <v>1500000</v>
      </c>
      <c r="I253" s="7">
        <f>SUM(G253:H253)</f>
        <v>1500000</v>
      </c>
    </row>
    <row r="254" spans="1:9" ht="15">
      <c r="A254" s="224" t="s">
        <v>524</v>
      </c>
      <c r="B254" s="225"/>
      <c r="C254" s="225"/>
      <c r="D254" s="225"/>
      <c r="E254" s="225"/>
      <c r="F254" s="225"/>
      <c r="G254" s="225"/>
      <c r="H254" s="225"/>
      <c r="I254" s="226"/>
    </row>
    <row r="255" spans="1:9" ht="15">
      <c r="A255" s="15">
        <v>159</v>
      </c>
      <c r="B255" s="15">
        <v>1</v>
      </c>
      <c r="C255" s="26" t="s">
        <v>525</v>
      </c>
      <c r="D255" s="5"/>
      <c r="E255" s="27"/>
      <c r="F255" s="6">
        <f>SUM(D255:E255)</f>
        <v>0</v>
      </c>
      <c r="G255" s="5"/>
      <c r="H255" s="27">
        <f>2802000+746000</f>
        <v>3548000</v>
      </c>
      <c r="I255" s="6">
        <f>SUM(G255:H255)</f>
        <v>3548000</v>
      </c>
    </row>
    <row r="256" spans="1:9" ht="15">
      <c r="A256" s="224" t="s">
        <v>42</v>
      </c>
      <c r="B256" s="225"/>
      <c r="C256" s="225"/>
      <c r="D256" s="7">
        <f>SUM(D255:D255)</f>
        <v>0</v>
      </c>
      <c r="E256" s="7">
        <f>SUM(E255:E255)</f>
        <v>0</v>
      </c>
      <c r="F256" s="7">
        <f>SUM(D256:E256)</f>
        <v>0</v>
      </c>
      <c r="G256" s="7">
        <f>SUM(G255:G255)</f>
        <v>0</v>
      </c>
      <c r="H256" s="7">
        <f>SUM(H255:H255)</f>
        <v>3548000</v>
      </c>
      <c r="I256" s="7">
        <f>SUM(G256:H256)</f>
        <v>3548000</v>
      </c>
    </row>
    <row r="257" spans="1:9" ht="15">
      <c r="A257" s="224" t="s">
        <v>176</v>
      </c>
      <c r="B257" s="225"/>
      <c r="C257" s="225"/>
      <c r="D257" s="225"/>
      <c r="E257" s="225"/>
      <c r="F257" s="225"/>
      <c r="G257" s="225"/>
      <c r="H257" s="225"/>
      <c r="I257" s="226"/>
    </row>
    <row r="258" spans="1:13" ht="15">
      <c r="A258" s="15">
        <v>160</v>
      </c>
      <c r="B258" s="15">
        <v>1</v>
      </c>
      <c r="C258" s="17" t="s">
        <v>177</v>
      </c>
      <c r="D258" s="5"/>
      <c r="E258" s="5">
        <v>28196000</v>
      </c>
      <c r="F258" s="6">
        <f>SUM(D258:E258)</f>
        <v>28196000</v>
      </c>
      <c r="G258" s="5"/>
      <c r="H258" s="5"/>
      <c r="I258" s="6">
        <f>SUM(G258:H258)</f>
        <v>0</v>
      </c>
      <c r="L258" s="116"/>
      <c r="M258" s="116"/>
    </row>
    <row r="259" spans="1:13" ht="15">
      <c r="A259" s="15">
        <v>161</v>
      </c>
      <c r="B259" s="15">
        <v>2</v>
      </c>
      <c r="C259" s="17" t="s">
        <v>178</v>
      </c>
      <c r="D259" s="5"/>
      <c r="E259" s="5"/>
      <c r="F259" s="6">
        <f aca="true" t="shared" si="15" ref="F259:F266">SUM(D259:E259)</f>
        <v>0</v>
      </c>
      <c r="G259" s="5">
        <f>6000000+2097415+47000+18000+20000</f>
        <v>8182415</v>
      </c>
      <c r="H259" s="5">
        <f>10658700+20000+20000+1967960+1120000+1340000+167000+1903500+30000+150000</f>
        <v>17377160</v>
      </c>
      <c r="I259" s="6">
        <f aca="true" t="shared" si="16" ref="I259:I266">SUM(G259:H259)</f>
        <v>25559575</v>
      </c>
      <c r="L259" s="16"/>
      <c r="M259" s="100"/>
    </row>
    <row r="260" spans="1:13" ht="15">
      <c r="A260" s="15">
        <v>162</v>
      </c>
      <c r="B260" s="15">
        <v>3</v>
      </c>
      <c r="C260" s="29" t="s">
        <v>179</v>
      </c>
      <c r="D260" s="5"/>
      <c r="E260" s="5"/>
      <c r="F260" s="6">
        <f t="shared" si="15"/>
        <v>0</v>
      </c>
      <c r="G260" s="5"/>
      <c r="H260" s="5"/>
      <c r="I260" s="6">
        <f t="shared" si="16"/>
        <v>0</v>
      </c>
      <c r="L260" s="16"/>
      <c r="M260" s="16"/>
    </row>
    <row r="261" spans="1:13" ht="15">
      <c r="A261" s="15">
        <v>163</v>
      </c>
      <c r="B261" s="15">
        <v>4</v>
      </c>
      <c r="C261" s="29" t="s">
        <v>254</v>
      </c>
      <c r="D261" s="5"/>
      <c r="E261" s="5"/>
      <c r="F261" s="6">
        <f t="shared" si="15"/>
        <v>0</v>
      </c>
      <c r="G261" s="5"/>
      <c r="H261" s="5"/>
      <c r="I261" s="6">
        <f t="shared" si="16"/>
        <v>0</v>
      </c>
      <c r="L261" s="16"/>
      <c r="M261" s="16"/>
    </row>
    <row r="262" spans="1:13" ht="15">
      <c r="A262" s="15">
        <v>164</v>
      </c>
      <c r="B262" s="15">
        <v>5</v>
      </c>
      <c r="C262" s="26" t="s">
        <v>220</v>
      </c>
      <c r="D262" s="5">
        <f>50000+500000</f>
        <v>550000</v>
      </c>
      <c r="E262" s="5"/>
      <c r="F262" s="6">
        <f t="shared" si="15"/>
        <v>550000</v>
      </c>
      <c r="G262" s="5">
        <v>50000</v>
      </c>
      <c r="H262" s="5"/>
      <c r="I262" s="6">
        <f t="shared" si="16"/>
        <v>50000</v>
      </c>
      <c r="M262" s="107"/>
    </row>
    <row r="263" spans="1:9" ht="15">
      <c r="A263" s="15">
        <v>165</v>
      </c>
      <c r="B263" s="15">
        <v>6</v>
      </c>
      <c r="C263" s="26" t="s">
        <v>221</v>
      </c>
      <c r="D263" s="5"/>
      <c r="E263" s="5"/>
      <c r="F263" s="6">
        <f t="shared" si="15"/>
        <v>0</v>
      </c>
      <c r="G263" s="5"/>
      <c r="H263" s="5"/>
      <c r="I263" s="6">
        <f t="shared" si="16"/>
        <v>0</v>
      </c>
    </row>
    <row r="264" spans="1:13" ht="15">
      <c r="A264" s="15">
        <v>166</v>
      </c>
      <c r="B264" s="15">
        <v>7</v>
      </c>
      <c r="C264" s="26" t="s">
        <v>222</v>
      </c>
      <c r="D264" s="5">
        <f>200000+125000+1500000</f>
        <v>1825000</v>
      </c>
      <c r="E264" s="5"/>
      <c r="F264" s="6">
        <f t="shared" si="15"/>
        <v>1825000</v>
      </c>
      <c r="G264" s="5"/>
      <c r="H264" s="5"/>
      <c r="I264" s="6">
        <f t="shared" si="16"/>
        <v>0</v>
      </c>
      <c r="K264" s="81"/>
      <c r="L264" s="82"/>
      <c r="M264" s="82"/>
    </row>
    <row r="265" spans="1:9" ht="15">
      <c r="A265" s="15">
        <v>167</v>
      </c>
      <c r="B265" s="15">
        <v>8</v>
      </c>
      <c r="C265" s="26" t="s">
        <v>223</v>
      </c>
      <c r="D265" s="5"/>
      <c r="E265" s="5"/>
      <c r="F265" s="6">
        <f t="shared" si="15"/>
        <v>0</v>
      </c>
      <c r="G265" s="5"/>
      <c r="H265" s="5">
        <f>500000+200000</f>
        <v>700000</v>
      </c>
      <c r="I265" s="6">
        <f t="shared" si="16"/>
        <v>700000</v>
      </c>
    </row>
    <row r="266" spans="1:13" ht="15">
      <c r="A266" s="15">
        <v>168</v>
      </c>
      <c r="B266" s="15">
        <v>9</v>
      </c>
      <c r="C266" s="26" t="s">
        <v>256</v>
      </c>
      <c r="D266" s="5"/>
      <c r="E266" s="5"/>
      <c r="F266" s="6">
        <f t="shared" si="15"/>
        <v>0</v>
      </c>
      <c r="G266" s="5"/>
      <c r="H266" s="5"/>
      <c r="I266" s="6">
        <f t="shared" si="16"/>
        <v>0</v>
      </c>
      <c r="L266" s="116"/>
      <c r="M266" s="116"/>
    </row>
    <row r="267" spans="1:13" ht="15">
      <c r="A267" s="15">
        <v>169</v>
      </c>
      <c r="B267" s="15">
        <v>10</v>
      </c>
      <c r="C267" s="28" t="s">
        <v>186</v>
      </c>
      <c r="D267" s="5"/>
      <c r="E267" s="5"/>
      <c r="F267" s="6">
        <f>SUM(D267:E267)</f>
        <v>0</v>
      </c>
      <c r="G267" s="5"/>
      <c r="H267" s="5"/>
      <c r="I267" s="6">
        <f>SUM(G267:H267)</f>
        <v>0</v>
      </c>
      <c r="L267" s="16"/>
      <c r="M267" s="16"/>
    </row>
    <row r="268" spans="1:9" ht="15">
      <c r="A268" s="15">
        <v>170</v>
      </c>
      <c r="B268" s="15">
        <v>11</v>
      </c>
      <c r="C268" s="30" t="s">
        <v>185</v>
      </c>
      <c r="D268" s="5">
        <v>220000</v>
      </c>
      <c r="E268" s="5"/>
      <c r="F268" s="6">
        <f aca="true" t="shared" si="17" ref="F268:F287">SUM(D268:E268)</f>
        <v>220000</v>
      </c>
      <c r="G268" s="5">
        <v>220000</v>
      </c>
      <c r="H268" s="5"/>
      <c r="I268" s="6">
        <f aca="true" t="shared" si="18" ref="I268:I292">SUM(G268:H268)</f>
        <v>220000</v>
      </c>
    </row>
    <row r="269" spans="1:13" ht="15">
      <c r="A269" s="15">
        <v>171</v>
      </c>
      <c r="B269" s="15">
        <v>12</v>
      </c>
      <c r="C269" s="32" t="s">
        <v>308</v>
      </c>
      <c r="D269" s="31"/>
      <c r="E269" s="27"/>
      <c r="F269" s="6">
        <f t="shared" si="17"/>
        <v>0</v>
      </c>
      <c r="G269" s="31">
        <v>200000</v>
      </c>
      <c r="H269" s="27"/>
      <c r="I269" s="6">
        <f t="shared" si="18"/>
        <v>200000</v>
      </c>
      <c r="L269" s="16"/>
      <c r="M269" s="16"/>
    </row>
    <row r="270" spans="1:9" ht="15">
      <c r="A270" s="15">
        <v>172</v>
      </c>
      <c r="B270" s="15">
        <v>13</v>
      </c>
      <c r="C270" s="32" t="s">
        <v>309</v>
      </c>
      <c r="D270" s="31"/>
      <c r="E270" s="27"/>
      <c r="F270" s="6">
        <f t="shared" si="17"/>
        <v>0</v>
      </c>
      <c r="G270" s="31">
        <v>80000</v>
      </c>
      <c r="H270" s="27"/>
      <c r="I270" s="6">
        <f t="shared" si="18"/>
        <v>80000</v>
      </c>
    </row>
    <row r="271" spans="1:9" ht="15">
      <c r="A271" s="15">
        <v>173</v>
      </c>
      <c r="B271" s="15">
        <v>14</v>
      </c>
      <c r="C271" s="32" t="s">
        <v>355</v>
      </c>
      <c r="D271" s="31">
        <v>175000</v>
      </c>
      <c r="E271" s="27"/>
      <c r="F271" s="6">
        <f t="shared" si="17"/>
        <v>175000</v>
      </c>
      <c r="G271" s="31">
        <v>175000</v>
      </c>
      <c r="H271" s="27"/>
      <c r="I271" s="6">
        <f t="shared" si="18"/>
        <v>175000</v>
      </c>
    </row>
    <row r="272" spans="1:9" ht="15">
      <c r="A272" s="15">
        <v>174</v>
      </c>
      <c r="B272" s="15">
        <v>15</v>
      </c>
      <c r="C272" s="32" t="s">
        <v>377</v>
      </c>
      <c r="D272" s="31">
        <v>187000</v>
      </c>
      <c r="E272" s="27"/>
      <c r="F272" s="6">
        <f t="shared" si="17"/>
        <v>187000</v>
      </c>
      <c r="G272" s="31">
        <v>253000</v>
      </c>
      <c r="H272" s="27"/>
      <c r="I272" s="91">
        <f t="shared" si="18"/>
        <v>253000</v>
      </c>
    </row>
    <row r="273" spans="1:9" ht="15">
      <c r="A273" s="15">
        <v>175</v>
      </c>
      <c r="B273" s="15">
        <v>16</v>
      </c>
      <c r="C273" s="32" t="s">
        <v>408</v>
      </c>
      <c r="D273" s="31">
        <v>50000</v>
      </c>
      <c r="E273" s="27"/>
      <c r="F273" s="6">
        <f t="shared" si="17"/>
        <v>50000</v>
      </c>
      <c r="G273" s="31"/>
      <c r="H273" s="27"/>
      <c r="I273" s="91">
        <f t="shared" si="18"/>
        <v>0</v>
      </c>
    </row>
    <row r="274" spans="1:9" ht="15">
      <c r="A274" s="15">
        <v>176</v>
      </c>
      <c r="B274" s="15">
        <v>17</v>
      </c>
      <c r="C274" s="32" t="s">
        <v>618</v>
      </c>
      <c r="D274" s="31">
        <v>125000</v>
      </c>
      <c r="E274" s="27"/>
      <c r="F274" s="6">
        <f t="shared" si="17"/>
        <v>125000</v>
      </c>
      <c r="G274" s="31">
        <v>120000</v>
      </c>
      <c r="H274" s="27"/>
      <c r="I274" s="91">
        <f t="shared" si="18"/>
        <v>120000</v>
      </c>
    </row>
    <row r="275" spans="1:9" ht="15">
      <c r="A275" s="15">
        <v>177</v>
      </c>
      <c r="B275" s="15">
        <v>18</v>
      </c>
      <c r="C275" s="32" t="s">
        <v>245</v>
      </c>
      <c r="D275" s="31"/>
      <c r="E275" s="27"/>
      <c r="F275" s="6">
        <f t="shared" si="17"/>
        <v>0</v>
      </c>
      <c r="G275" s="31"/>
      <c r="H275" s="27"/>
      <c r="I275" s="91">
        <f t="shared" si="18"/>
        <v>0</v>
      </c>
    </row>
    <row r="276" spans="1:9" ht="15">
      <c r="A276" s="15">
        <v>178</v>
      </c>
      <c r="B276" s="15">
        <v>19</v>
      </c>
      <c r="C276" s="32" t="s">
        <v>519</v>
      </c>
      <c r="D276" s="31">
        <v>100000</v>
      </c>
      <c r="E276" s="27"/>
      <c r="F276" s="6">
        <f t="shared" si="17"/>
        <v>100000</v>
      </c>
      <c r="G276" s="31">
        <v>100000</v>
      </c>
      <c r="H276" s="27"/>
      <c r="I276" s="91">
        <f t="shared" si="18"/>
        <v>100000</v>
      </c>
    </row>
    <row r="277" spans="1:9" ht="15">
      <c r="A277" s="15">
        <v>179</v>
      </c>
      <c r="B277" s="15">
        <v>20</v>
      </c>
      <c r="C277" s="32" t="s">
        <v>520</v>
      </c>
      <c r="D277" s="31"/>
      <c r="E277" s="27"/>
      <c r="F277" s="6">
        <f t="shared" si="17"/>
        <v>0</v>
      </c>
      <c r="G277" s="31"/>
      <c r="H277" s="27"/>
      <c r="I277" s="91">
        <f t="shared" si="18"/>
        <v>0</v>
      </c>
    </row>
    <row r="278" spans="1:9" ht="15">
      <c r="A278" s="15">
        <v>180</v>
      </c>
      <c r="B278" s="15">
        <v>21</v>
      </c>
      <c r="C278" s="32" t="s">
        <v>521</v>
      </c>
      <c r="D278" s="31"/>
      <c r="E278" s="27"/>
      <c r="F278" s="6">
        <f t="shared" si="17"/>
        <v>0</v>
      </c>
      <c r="G278" s="31"/>
      <c r="H278" s="27"/>
      <c r="I278" s="91">
        <f t="shared" si="18"/>
        <v>0</v>
      </c>
    </row>
    <row r="279" spans="1:9" ht="15">
      <c r="A279" s="15">
        <v>181</v>
      </c>
      <c r="B279" s="15">
        <v>22</v>
      </c>
      <c r="C279" s="32" t="s">
        <v>522</v>
      </c>
      <c r="D279" s="31"/>
      <c r="E279" s="27"/>
      <c r="F279" s="6">
        <f t="shared" si="17"/>
        <v>0</v>
      </c>
      <c r="G279" s="31"/>
      <c r="H279" s="27"/>
      <c r="I279" s="91">
        <f t="shared" si="18"/>
        <v>0</v>
      </c>
    </row>
    <row r="280" spans="1:9" ht="15">
      <c r="A280" s="15">
        <v>182</v>
      </c>
      <c r="B280" s="15">
        <v>23</v>
      </c>
      <c r="C280" s="32" t="s">
        <v>523</v>
      </c>
      <c r="D280" s="31"/>
      <c r="E280" s="27"/>
      <c r="F280" s="6">
        <f t="shared" si="17"/>
        <v>0</v>
      </c>
      <c r="G280" s="31"/>
      <c r="H280" s="27"/>
      <c r="I280" s="91">
        <f t="shared" si="18"/>
        <v>0</v>
      </c>
    </row>
    <row r="281" spans="1:9" ht="15">
      <c r="A281" s="15">
        <v>183</v>
      </c>
      <c r="B281" s="15">
        <v>24</v>
      </c>
      <c r="C281" s="32" t="s">
        <v>526</v>
      </c>
      <c r="D281" s="31"/>
      <c r="E281" s="27"/>
      <c r="F281" s="6">
        <f t="shared" si="17"/>
        <v>0</v>
      </c>
      <c r="G281" s="31"/>
      <c r="H281" s="27">
        <v>966000</v>
      </c>
      <c r="I281" s="91">
        <f t="shared" si="18"/>
        <v>966000</v>
      </c>
    </row>
    <row r="282" spans="1:9" ht="15">
      <c r="A282" s="15">
        <v>184</v>
      </c>
      <c r="B282" s="15">
        <v>25</v>
      </c>
      <c r="C282" s="32" t="s">
        <v>527</v>
      </c>
      <c r="D282" s="31"/>
      <c r="E282" s="27">
        <v>50000</v>
      </c>
      <c r="F282" s="6">
        <f t="shared" si="17"/>
        <v>50000</v>
      </c>
      <c r="G282" s="31"/>
      <c r="H282" s="27"/>
      <c r="I282" s="91">
        <f t="shared" si="18"/>
        <v>0</v>
      </c>
    </row>
    <row r="283" spans="1:9" ht="15">
      <c r="A283" s="15">
        <v>185</v>
      </c>
      <c r="B283" s="15">
        <v>26</v>
      </c>
      <c r="C283" s="32" t="s">
        <v>528</v>
      </c>
      <c r="D283" s="31"/>
      <c r="E283" s="27">
        <v>30000</v>
      </c>
      <c r="F283" s="6">
        <f t="shared" si="17"/>
        <v>30000</v>
      </c>
      <c r="G283" s="31"/>
      <c r="H283" s="27">
        <v>30000</v>
      </c>
      <c r="I283" s="91">
        <f t="shared" si="18"/>
        <v>30000</v>
      </c>
    </row>
    <row r="284" spans="1:9" ht="15">
      <c r="A284" s="15">
        <v>186</v>
      </c>
      <c r="B284" s="15">
        <v>27</v>
      </c>
      <c r="C284" s="32" t="s">
        <v>529</v>
      </c>
      <c r="D284" s="31"/>
      <c r="E284" s="27">
        <v>25000</v>
      </c>
      <c r="F284" s="6">
        <f t="shared" si="17"/>
        <v>25000</v>
      </c>
      <c r="G284" s="31"/>
      <c r="H284" s="27">
        <v>25000</v>
      </c>
      <c r="I284" s="91">
        <f t="shared" si="18"/>
        <v>25000</v>
      </c>
    </row>
    <row r="285" spans="1:9" ht="15">
      <c r="A285" s="15">
        <v>187</v>
      </c>
      <c r="B285" s="15">
        <v>28</v>
      </c>
      <c r="C285" s="32" t="s">
        <v>530</v>
      </c>
      <c r="D285" s="31"/>
      <c r="E285" s="27"/>
      <c r="F285" s="6">
        <f t="shared" si="17"/>
        <v>0</v>
      </c>
      <c r="G285" s="31"/>
      <c r="H285" s="27"/>
      <c r="I285" s="91">
        <f t="shared" si="18"/>
        <v>0</v>
      </c>
    </row>
    <row r="286" spans="1:9" ht="15">
      <c r="A286" s="15">
        <v>188</v>
      </c>
      <c r="B286" s="15">
        <v>29</v>
      </c>
      <c r="C286" s="32" t="s">
        <v>573</v>
      </c>
      <c r="D286" s="31">
        <v>1000000</v>
      </c>
      <c r="E286" s="27"/>
      <c r="F286" s="6">
        <f t="shared" si="17"/>
        <v>1000000</v>
      </c>
      <c r="G286" s="31"/>
      <c r="H286" s="27"/>
      <c r="I286" s="91">
        <f t="shared" si="18"/>
        <v>0</v>
      </c>
    </row>
    <row r="287" spans="1:9" ht="15">
      <c r="A287" s="15">
        <v>189</v>
      </c>
      <c r="B287" s="15">
        <v>30</v>
      </c>
      <c r="C287" s="32" t="s">
        <v>576</v>
      </c>
      <c r="D287" s="31"/>
      <c r="E287" s="27">
        <v>723000</v>
      </c>
      <c r="F287" s="6">
        <f t="shared" si="17"/>
        <v>723000</v>
      </c>
      <c r="G287" s="31"/>
      <c r="H287" s="27"/>
      <c r="I287" s="91">
        <f t="shared" si="18"/>
        <v>0</v>
      </c>
    </row>
    <row r="288" spans="1:9" ht="15">
      <c r="A288" s="15">
        <v>190</v>
      </c>
      <c r="B288" s="15">
        <v>31</v>
      </c>
      <c r="C288" s="32" t="s">
        <v>615</v>
      </c>
      <c r="D288" s="31"/>
      <c r="E288" s="27"/>
      <c r="F288" s="91"/>
      <c r="G288" s="31">
        <v>200000</v>
      </c>
      <c r="H288" s="27"/>
      <c r="I288" s="91">
        <f t="shared" si="18"/>
        <v>200000</v>
      </c>
    </row>
    <row r="289" spans="1:9" ht="15">
      <c r="A289" s="15">
        <v>191</v>
      </c>
      <c r="B289" s="15">
        <v>32</v>
      </c>
      <c r="C289" s="32" t="s">
        <v>616</v>
      </c>
      <c r="D289" s="31"/>
      <c r="E289" s="27"/>
      <c r="F289" s="91"/>
      <c r="G289" s="31">
        <v>200000</v>
      </c>
      <c r="H289" s="27"/>
      <c r="I289" s="91">
        <f t="shared" si="18"/>
        <v>200000</v>
      </c>
    </row>
    <row r="290" spans="1:9" ht="15">
      <c r="A290" s="15">
        <v>192</v>
      </c>
      <c r="B290" s="15">
        <v>33</v>
      </c>
      <c r="C290" s="32" t="s">
        <v>310</v>
      </c>
      <c r="D290" s="31"/>
      <c r="E290" s="27"/>
      <c r="F290" s="91"/>
      <c r="G290" s="31">
        <v>200000</v>
      </c>
      <c r="H290" s="27"/>
      <c r="I290" s="91">
        <f t="shared" si="18"/>
        <v>200000</v>
      </c>
    </row>
    <row r="291" spans="1:9" ht="15">
      <c r="A291" s="15">
        <v>193</v>
      </c>
      <c r="B291" s="15">
        <v>34</v>
      </c>
      <c r="C291" s="32" t="s">
        <v>181</v>
      </c>
      <c r="D291" s="31"/>
      <c r="E291" s="27"/>
      <c r="F291" s="91"/>
      <c r="G291" s="31">
        <v>55000</v>
      </c>
      <c r="H291" s="27"/>
      <c r="I291" s="91">
        <f t="shared" si="18"/>
        <v>55000</v>
      </c>
    </row>
    <row r="292" spans="1:9" ht="15">
      <c r="A292" s="15">
        <v>194</v>
      </c>
      <c r="B292" s="15">
        <v>35</v>
      </c>
      <c r="C292" s="32" t="s">
        <v>183</v>
      </c>
      <c r="D292" s="31"/>
      <c r="E292" s="27"/>
      <c r="F292" s="91"/>
      <c r="G292" s="31"/>
      <c r="H292" s="27">
        <v>75000</v>
      </c>
      <c r="I292" s="91">
        <f t="shared" si="18"/>
        <v>75000</v>
      </c>
    </row>
    <row r="293" spans="1:9" ht="15.75" thickBot="1">
      <c r="A293" s="253" t="s">
        <v>42</v>
      </c>
      <c r="B293" s="254"/>
      <c r="C293" s="255"/>
      <c r="D293" s="33">
        <f>SUM(D258:D292)</f>
        <v>4232000</v>
      </c>
      <c r="E293" s="33">
        <f>SUM(E258:E292)</f>
        <v>29024000</v>
      </c>
      <c r="F293" s="33">
        <f>SUM(D293:E293)</f>
        <v>33256000</v>
      </c>
      <c r="G293" s="33">
        <f>SUM(G258:G292)</f>
        <v>10035415</v>
      </c>
      <c r="H293" s="33">
        <f>SUM(H258:H292)</f>
        <v>19173160</v>
      </c>
      <c r="I293" s="33">
        <f>SUM(G293:H293)</f>
        <v>29208575</v>
      </c>
    </row>
    <row r="294" spans="1:9" ht="16.5" thickBot="1" thickTop="1">
      <c r="A294" s="237" t="s">
        <v>190</v>
      </c>
      <c r="B294" s="238"/>
      <c r="C294" s="238"/>
      <c r="D294" s="34">
        <f>D293++D256+D253+D249+D245+D186+D161+D139+D117+D114+D111+D88+D78+D75+D72</f>
        <v>111893000</v>
      </c>
      <c r="E294" s="34">
        <f>E293++E256+E253+E249+E245+E186+E161+E139+E117+E114+E111+E88+E78+E75+E72</f>
        <v>76322269</v>
      </c>
      <c r="F294" s="34">
        <f>SUM(D294:E294)</f>
        <v>188215269</v>
      </c>
      <c r="G294" s="34">
        <f>G293+G256+G253+G249+G245+G186+G161+G139+G117+G114+G111+G88+G78+G75+G72</f>
        <v>126003824</v>
      </c>
      <c r="H294" s="34">
        <f>H293+H256+H253+H249+H245+H186+H161+H139+H117+H114+H111+H88+H78+H75+H72</f>
        <v>63706027</v>
      </c>
      <c r="I294" s="34">
        <f>SUM(G294:H294)</f>
        <v>189709851</v>
      </c>
    </row>
    <row r="295" spans="1:10" ht="15.75" thickTop="1">
      <c r="A295" s="35"/>
      <c r="B295" s="35"/>
      <c r="C295" s="35"/>
      <c r="D295" s="36"/>
      <c r="E295" s="36"/>
      <c r="F295" s="36"/>
      <c r="G295" s="36"/>
      <c r="H295" s="36"/>
      <c r="I295" s="36"/>
      <c r="J295" s="37"/>
    </row>
    <row r="296" spans="1:9" ht="15">
      <c r="A296" s="39"/>
      <c r="B296" s="39"/>
      <c r="C296" s="39"/>
      <c r="D296" s="38"/>
      <c r="E296" s="38"/>
      <c r="F296" s="240" t="s">
        <v>621</v>
      </c>
      <c r="G296" s="240"/>
      <c r="H296" s="240"/>
      <c r="I296" s="240"/>
    </row>
    <row r="297" spans="1:9" ht="15">
      <c r="A297" s="39"/>
      <c r="B297" s="39"/>
      <c r="C297" s="38" t="s">
        <v>199</v>
      </c>
      <c r="D297" s="38"/>
      <c r="E297" s="38"/>
      <c r="F297" s="240" t="s">
        <v>349</v>
      </c>
      <c r="G297" s="240"/>
      <c r="H297" s="240"/>
      <c r="I297" s="240"/>
    </row>
    <row r="298" spans="1:8" ht="15">
      <c r="A298" s="39"/>
      <c r="B298" s="39"/>
      <c r="C298" s="39"/>
      <c r="D298" s="39"/>
      <c r="E298" s="39"/>
      <c r="G298" s="39"/>
      <c r="H298" s="39"/>
    </row>
    <row r="299" spans="1:8" ht="15">
      <c r="A299" s="39"/>
      <c r="B299" s="61"/>
      <c r="C299" s="272" t="s">
        <v>866</v>
      </c>
      <c r="D299" s="39"/>
      <c r="E299" s="39"/>
      <c r="G299" s="270" t="s">
        <v>866</v>
      </c>
      <c r="H299" s="39"/>
    </row>
    <row r="300" spans="1:9" ht="15">
      <c r="A300" s="39"/>
      <c r="B300" s="61"/>
      <c r="C300" s="38" t="s">
        <v>269</v>
      </c>
      <c r="D300" s="62"/>
      <c r="E300" s="62"/>
      <c r="F300" s="240" t="s">
        <v>350</v>
      </c>
      <c r="G300" s="240"/>
      <c r="H300" s="240"/>
      <c r="I300" s="240"/>
    </row>
    <row r="301" spans="1:12" ht="15">
      <c r="A301" s="35"/>
      <c r="B301" s="35"/>
      <c r="C301" s="35"/>
      <c r="D301" s="36"/>
      <c r="E301" s="36"/>
      <c r="F301" s="36"/>
      <c r="G301" s="36"/>
      <c r="H301" s="36"/>
      <c r="I301" s="36"/>
      <c r="J301" s="37"/>
      <c r="L301" s="16"/>
    </row>
    <row r="302" spans="1:9" ht="15">
      <c r="A302" s="240" t="s">
        <v>191</v>
      </c>
      <c r="B302" s="240"/>
      <c r="C302" s="240"/>
      <c r="D302" s="240"/>
      <c r="E302" s="240"/>
      <c r="F302" s="240"/>
      <c r="G302" s="240"/>
      <c r="H302" s="240"/>
      <c r="I302" s="240"/>
    </row>
    <row r="303" spans="1:9" ht="15">
      <c r="A303" s="240" t="s">
        <v>619</v>
      </c>
      <c r="B303" s="240"/>
      <c r="C303" s="240"/>
      <c r="D303" s="240"/>
      <c r="E303" s="240"/>
      <c r="F303" s="240"/>
      <c r="G303" s="240"/>
      <c r="H303" s="240"/>
      <c r="I303" s="240"/>
    </row>
    <row r="304" spans="1:9" ht="15">
      <c r="A304" s="38" t="s">
        <v>192</v>
      </c>
      <c r="B304" s="72" t="s">
        <v>195</v>
      </c>
      <c r="C304" s="38"/>
      <c r="D304" s="38"/>
      <c r="E304" s="38"/>
      <c r="F304" s="38"/>
      <c r="G304" s="38"/>
      <c r="H304" s="38"/>
      <c r="I304" s="38"/>
    </row>
    <row r="305" spans="1:9" ht="15">
      <c r="A305" s="40"/>
      <c r="B305" s="243" t="s">
        <v>2</v>
      </c>
      <c r="C305" s="247" t="s">
        <v>193</v>
      </c>
      <c r="D305" s="248"/>
      <c r="E305" s="248"/>
      <c r="F305" s="248"/>
      <c r="G305" s="248"/>
      <c r="H305" s="249"/>
      <c r="I305" s="85" t="s">
        <v>42</v>
      </c>
    </row>
    <row r="306" spans="1:9" ht="15">
      <c r="A306" s="39"/>
      <c r="B306" s="244"/>
      <c r="C306" s="250"/>
      <c r="D306" s="251"/>
      <c r="E306" s="251"/>
      <c r="F306" s="251"/>
      <c r="G306" s="251"/>
      <c r="H306" s="252"/>
      <c r="I306" s="84" t="s">
        <v>194</v>
      </c>
    </row>
    <row r="307" spans="1:9" ht="15">
      <c r="A307" s="39"/>
      <c r="B307" s="70">
        <v>1</v>
      </c>
      <c r="C307" s="45" t="s">
        <v>339</v>
      </c>
      <c r="D307" s="60"/>
      <c r="E307" s="60"/>
      <c r="F307" s="69"/>
      <c r="G307" s="60"/>
      <c r="H307" s="60"/>
      <c r="I307" s="59"/>
    </row>
    <row r="308" spans="1:10" ht="15">
      <c r="A308" s="39"/>
      <c r="B308" s="70"/>
      <c r="C308" s="45" t="s">
        <v>620</v>
      </c>
      <c r="D308" s="60"/>
      <c r="E308" s="60"/>
      <c r="F308" s="69"/>
      <c r="G308" s="60"/>
      <c r="H308" s="60"/>
      <c r="I308" s="99">
        <v>6565900</v>
      </c>
      <c r="J308" s="105"/>
    </row>
    <row r="309" spans="1:10" ht="15">
      <c r="A309" s="39"/>
      <c r="B309" s="70">
        <v>2</v>
      </c>
      <c r="C309" s="45" t="s">
        <v>642</v>
      </c>
      <c r="D309" s="60"/>
      <c r="E309" s="60"/>
      <c r="F309" s="69"/>
      <c r="G309" s="60"/>
      <c r="H309" s="60"/>
      <c r="I309" s="99"/>
      <c r="J309" s="105"/>
    </row>
    <row r="310" spans="1:10" ht="15">
      <c r="A310" s="39"/>
      <c r="B310" s="70"/>
      <c r="C310" s="45" t="s">
        <v>641</v>
      </c>
      <c r="D310" s="60"/>
      <c r="E310" s="60"/>
      <c r="F310" s="69"/>
      <c r="G310" s="60"/>
      <c r="H310" s="60"/>
      <c r="I310" s="99">
        <f>2500000-20000</f>
        <v>2480000</v>
      </c>
      <c r="J310" s="105"/>
    </row>
    <row r="311" spans="1:10" ht="15">
      <c r="A311" s="39"/>
      <c r="B311" s="70"/>
      <c r="C311" s="45" t="s">
        <v>643</v>
      </c>
      <c r="D311" s="60"/>
      <c r="E311" s="60"/>
      <c r="F311" s="69"/>
      <c r="G311" s="60"/>
      <c r="H311" s="60"/>
      <c r="I311" s="99">
        <f>2500000-35700</f>
        <v>2464300</v>
      </c>
      <c r="J311" s="105"/>
    </row>
    <row r="312" spans="1:12" ht="15">
      <c r="A312" s="39"/>
      <c r="B312" s="70"/>
      <c r="C312" s="45" t="s">
        <v>652</v>
      </c>
      <c r="D312" s="60"/>
      <c r="E312" s="60"/>
      <c r="F312" s="69"/>
      <c r="G312" s="60"/>
      <c r="H312" s="60"/>
      <c r="I312" s="99">
        <f>2500000-76000</f>
        <v>2424000</v>
      </c>
      <c r="J312" s="105"/>
      <c r="L312" s="88"/>
    </row>
    <row r="313" spans="1:12" ht="15">
      <c r="A313" s="39"/>
      <c r="B313" s="70">
        <v>3</v>
      </c>
      <c r="C313" s="45" t="s">
        <v>885</v>
      </c>
      <c r="D313" s="60"/>
      <c r="E313" s="60"/>
      <c r="F313" s="69"/>
      <c r="G313" s="60"/>
      <c r="H313" s="60"/>
      <c r="I313" s="99"/>
      <c r="J313" s="105"/>
      <c r="L313" s="88"/>
    </row>
    <row r="314" spans="1:12" ht="15">
      <c r="A314" s="39"/>
      <c r="B314" s="70"/>
      <c r="C314" s="45" t="s">
        <v>658</v>
      </c>
      <c r="D314" s="42"/>
      <c r="E314" s="42"/>
      <c r="F314" s="63"/>
      <c r="G314" s="42"/>
      <c r="H314" s="42"/>
      <c r="I314" s="92">
        <f>105000000</f>
        <v>105000000</v>
      </c>
      <c r="J314" s="105"/>
      <c r="L314" s="88"/>
    </row>
    <row r="315" spans="1:10" ht="15">
      <c r="A315" s="39"/>
      <c r="B315" s="41">
        <v>4</v>
      </c>
      <c r="C315" s="45" t="s">
        <v>886</v>
      </c>
      <c r="D315" s="42"/>
      <c r="E315" s="42"/>
      <c r="F315" s="63"/>
      <c r="G315" s="42"/>
      <c r="H315" s="42"/>
      <c r="I315" s="92"/>
      <c r="J315" s="105"/>
    </row>
    <row r="316" spans="1:10" ht="15">
      <c r="A316" s="39"/>
      <c r="B316" s="41"/>
      <c r="C316" s="45" t="s">
        <v>887</v>
      </c>
      <c r="D316" s="60"/>
      <c r="E316" s="60"/>
      <c r="F316" s="69"/>
      <c r="G316" s="60"/>
      <c r="H316" s="60"/>
      <c r="I316" s="99">
        <v>40000000</v>
      </c>
      <c r="J316" s="105"/>
    </row>
    <row r="317" spans="1:12" ht="15">
      <c r="A317" s="39"/>
      <c r="B317" s="70"/>
      <c r="C317" s="45" t="s">
        <v>632</v>
      </c>
      <c r="D317" s="42"/>
      <c r="E317" s="42"/>
      <c r="F317" s="63"/>
      <c r="G317" s="42"/>
      <c r="H317" s="42"/>
      <c r="I317" s="92">
        <f>36000000</f>
        <v>36000000</v>
      </c>
      <c r="J317" s="105"/>
      <c r="L317" s="88"/>
    </row>
    <row r="318" spans="1:10" ht="15">
      <c r="A318" s="39"/>
      <c r="B318" s="70">
        <v>5</v>
      </c>
      <c r="C318" s="45" t="s">
        <v>634</v>
      </c>
      <c r="D318" s="60"/>
      <c r="E318" s="60"/>
      <c r="F318" s="69"/>
      <c r="G318" s="60"/>
      <c r="H318" s="60"/>
      <c r="I318" s="99"/>
      <c r="J318" s="105"/>
    </row>
    <row r="319" spans="1:10" ht="15">
      <c r="A319" s="39"/>
      <c r="B319" s="70"/>
      <c r="C319" s="45" t="s">
        <v>635</v>
      </c>
      <c r="D319" s="60"/>
      <c r="E319" s="60"/>
      <c r="F319" s="69"/>
      <c r="G319" s="60"/>
      <c r="H319" s="60"/>
      <c r="I319" s="99">
        <v>5000000</v>
      </c>
      <c r="J319" s="105"/>
    </row>
    <row r="320" spans="1:10" ht="15">
      <c r="A320" s="39"/>
      <c r="B320" s="70"/>
      <c r="C320" s="45" t="s">
        <v>644</v>
      </c>
      <c r="D320" s="60"/>
      <c r="E320" s="60"/>
      <c r="F320" s="69"/>
      <c r="G320" s="60"/>
      <c r="H320" s="60"/>
      <c r="I320" s="99">
        <v>5000000</v>
      </c>
      <c r="J320" s="105"/>
    </row>
    <row r="321" spans="1:10" ht="15">
      <c r="A321" s="39"/>
      <c r="B321" s="70"/>
      <c r="C321" s="45" t="s">
        <v>653</v>
      </c>
      <c r="D321" s="60"/>
      <c r="E321" s="60"/>
      <c r="F321" s="69"/>
      <c r="G321" s="60"/>
      <c r="H321" s="60"/>
      <c r="I321" s="99">
        <v>5000000</v>
      </c>
      <c r="J321" s="105"/>
    </row>
    <row r="322" spans="1:10" ht="15">
      <c r="A322" s="39"/>
      <c r="B322" s="70"/>
      <c r="C322" s="45" t="s">
        <v>654</v>
      </c>
      <c r="D322" s="60"/>
      <c r="E322" s="60"/>
      <c r="F322" s="69"/>
      <c r="G322" s="60"/>
      <c r="H322" s="60"/>
      <c r="I322" s="99">
        <v>5000000</v>
      </c>
      <c r="J322" s="105"/>
    </row>
    <row r="323" spans="1:10" ht="15">
      <c r="A323" s="39"/>
      <c r="B323" s="70">
        <v>6</v>
      </c>
      <c r="C323" s="45" t="s">
        <v>504</v>
      </c>
      <c r="D323" s="60"/>
      <c r="E323" s="60"/>
      <c r="F323" s="69"/>
      <c r="G323" s="60"/>
      <c r="H323" s="60"/>
      <c r="I323" s="99"/>
      <c r="J323" s="105"/>
    </row>
    <row r="324" spans="1:12" ht="15">
      <c r="A324" s="39"/>
      <c r="B324" s="70"/>
      <c r="C324" s="45" t="s">
        <v>645</v>
      </c>
      <c r="D324" s="60"/>
      <c r="E324" s="60"/>
      <c r="F324" s="69"/>
      <c r="G324" s="60"/>
      <c r="H324" s="60"/>
      <c r="I324" s="99">
        <v>1000000</v>
      </c>
      <c r="J324" s="105"/>
      <c r="L324" s="16"/>
    </row>
    <row r="325" spans="1:10" ht="15">
      <c r="A325" s="39"/>
      <c r="B325" s="70"/>
      <c r="C325" s="45" t="s">
        <v>655</v>
      </c>
      <c r="D325" s="60"/>
      <c r="E325" s="60"/>
      <c r="F325" s="69"/>
      <c r="G325" s="60"/>
      <c r="H325" s="60"/>
      <c r="I325" s="99">
        <v>1500000</v>
      </c>
      <c r="J325" s="105"/>
    </row>
    <row r="326" spans="1:10" ht="15">
      <c r="A326" s="39"/>
      <c r="B326" s="70"/>
      <c r="C326" s="45" t="s">
        <v>656</v>
      </c>
      <c r="D326" s="60"/>
      <c r="E326" s="60"/>
      <c r="F326" s="69"/>
      <c r="G326" s="60"/>
      <c r="H326" s="60"/>
      <c r="I326" s="99">
        <v>1500000</v>
      </c>
      <c r="J326" s="105"/>
    </row>
    <row r="327" spans="1:10" ht="15">
      <c r="A327" s="39"/>
      <c r="B327" s="70">
        <v>7</v>
      </c>
      <c r="C327" s="109" t="s">
        <v>279</v>
      </c>
      <c r="D327" s="60"/>
      <c r="E327" s="60"/>
      <c r="F327" s="69"/>
      <c r="G327" s="60"/>
      <c r="H327" s="60"/>
      <c r="I327" s="99"/>
      <c r="J327" s="105"/>
    </row>
    <row r="328" spans="1:11" ht="15">
      <c r="A328" s="39"/>
      <c r="B328" s="70"/>
      <c r="C328" s="45" t="s">
        <v>636</v>
      </c>
      <c r="D328" s="60"/>
      <c r="E328" s="60"/>
      <c r="F328" s="69"/>
      <c r="G328" s="60"/>
      <c r="H328" s="60"/>
      <c r="I328" s="99">
        <v>1500000</v>
      </c>
      <c r="J328" s="105"/>
      <c r="K328" s="88"/>
    </row>
    <row r="329" spans="1:11" ht="15">
      <c r="A329" s="39"/>
      <c r="B329" s="70"/>
      <c r="C329" s="45" t="s">
        <v>659</v>
      </c>
      <c r="D329" s="60"/>
      <c r="E329" s="60"/>
      <c r="F329" s="69"/>
      <c r="G329" s="60"/>
      <c r="H329" s="60"/>
      <c r="I329" s="99">
        <v>1000000</v>
      </c>
      <c r="J329" s="105"/>
      <c r="K329" s="88"/>
    </row>
    <row r="330" spans="1:11" ht="15">
      <c r="A330" s="39"/>
      <c r="B330" s="70">
        <v>8</v>
      </c>
      <c r="C330" s="45" t="s">
        <v>648</v>
      </c>
      <c r="D330" s="60"/>
      <c r="E330" s="60"/>
      <c r="F330" s="69"/>
      <c r="G330" s="60"/>
      <c r="H330" s="60"/>
      <c r="I330" s="99"/>
      <c r="J330" s="105"/>
      <c r="K330" s="88"/>
    </row>
    <row r="331" spans="1:11" ht="15">
      <c r="A331" s="39"/>
      <c r="B331" s="70"/>
      <c r="C331" s="45" t="s">
        <v>649</v>
      </c>
      <c r="D331" s="60"/>
      <c r="E331" s="60"/>
      <c r="F331" s="69"/>
      <c r="G331" s="60"/>
      <c r="H331" s="60"/>
      <c r="I331" s="99">
        <v>9375000</v>
      </c>
      <c r="J331" s="105"/>
      <c r="K331" s="88"/>
    </row>
    <row r="332" spans="1:11" ht="15">
      <c r="A332" s="39"/>
      <c r="B332" s="70"/>
      <c r="C332" s="45" t="s">
        <v>650</v>
      </c>
      <c r="D332" s="60"/>
      <c r="E332" s="60"/>
      <c r="F332" s="69"/>
      <c r="G332" s="60"/>
      <c r="H332" s="60"/>
      <c r="I332" s="99">
        <v>5000000</v>
      </c>
      <c r="J332" s="105"/>
      <c r="K332" s="88"/>
    </row>
    <row r="333" spans="1:11" ht="15">
      <c r="A333" s="39"/>
      <c r="B333" s="41">
        <v>8</v>
      </c>
      <c r="C333" s="55" t="s">
        <v>360</v>
      </c>
      <c r="D333" s="52"/>
      <c r="E333" s="52"/>
      <c r="F333" s="63"/>
      <c r="G333" s="52"/>
      <c r="H333" s="53"/>
      <c r="I333" s="92">
        <v>340000</v>
      </c>
      <c r="J333" s="105"/>
      <c r="K333" t="s">
        <v>198</v>
      </c>
    </row>
    <row r="334" spans="1:10" ht="15">
      <c r="A334" s="39"/>
      <c r="B334" s="70">
        <v>9</v>
      </c>
      <c r="C334" s="51" t="s">
        <v>563</v>
      </c>
      <c r="D334" s="52"/>
      <c r="E334" s="52"/>
      <c r="F334" s="68"/>
      <c r="G334" s="76"/>
      <c r="H334" s="77"/>
      <c r="I334" s="92">
        <v>8182415</v>
      </c>
      <c r="J334" s="105"/>
    </row>
    <row r="335" spans="1:10" ht="15">
      <c r="A335" s="56"/>
      <c r="B335" s="241" t="s">
        <v>5</v>
      </c>
      <c r="C335" s="245"/>
      <c r="D335" s="245"/>
      <c r="E335" s="245"/>
      <c r="F335" s="66"/>
      <c r="G335" s="66"/>
      <c r="H335" s="67"/>
      <c r="I335" s="57">
        <f>SUM(I307:I334)</f>
        <v>244331615</v>
      </c>
      <c r="J335" s="115"/>
    </row>
    <row r="336" spans="1:9" ht="15">
      <c r="A336" s="58"/>
      <c r="B336" s="58"/>
      <c r="C336" s="58"/>
      <c r="D336" s="58"/>
      <c r="E336" s="58"/>
      <c r="F336" s="58"/>
      <c r="G336" s="73"/>
      <c r="H336" s="73"/>
      <c r="I336" s="58"/>
    </row>
    <row r="337" spans="1:9" ht="15">
      <c r="A337" s="74" t="s">
        <v>196</v>
      </c>
      <c r="B337" s="75" t="s">
        <v>197</v>
      </c>
      <c r="C337" s="75"/>
      <c r="D337" s="58"/>
      <c r="E337" s="58"/>
      <c r="F337" s="58"/>
      <c r="G337" s="58"/>
      <c r="H337" s="58"/>
      <c r="I337" s="58"/>
    </row>
    <row r="338" spans="1:9" ht="15">
      <c r="A338" s="40"/>
      <c r="B338" s="243" t="s">
        <v>2</v>
      </c>
      <c r="C338" s="248" t="s">
        <v>193</v>
      </c>
      <c r="D338" s="248"/>
      <c r="E338" s="248"/>
      <c r="F338" s="248"/>
      <c r="G338" s="248"/>
      <c r="H338" s="249"/>
      <c r="I338" s="85" t="s">
        <v>42</v>
      </c>
    </row>
    <row r="339" spans="1:9" ht="15">
      <c r="A339" s="58"/>
      <c r="B339" s="244"/>
      <c r="C339" s="251"/>
      <c r="D339" s="251"/>
      <c r="E339" s="251"/>
      <c r="F339" s="251"/>
      <c r="G339" s="251"/>
      <c r="H339" s="252"/>
      <c r="I339" s="84" t="s">
        <v>194</v>
      </c>
    </row>
    <row r="340" spans="1:9" ht="15">
      <c r="A340" s="58"/>
      <c r="B340" s="70">
        <v>1</v>
      </c>
      <c r="C340" s="45" t="s">
        <v>592</v>
      </c>
      <c r="D340" s="42"/>
      <c r="E340" s="42"/>
      <c r="F340" s="69"/>
      <c r="G340" s="42"/>
      <c r="H340" s="42"/>
      <c r="I340" s="99"/>
    </row>
    <row r="341" spans="1:10" ht="15">
      <c r="A341" s="58"/>
      <c r="B341" s="70"/>
      <c r="C341" s="45" t="s">
        <v>622</v>
      </c>
      <c r="D341" s="42"/>
      <c r="E341" s="42"/>
      <c r="F341" s="69"/>
      <c r="G341" s="42"/>
      <c r="H341" s="42"/>
      <c r="I341" s="106">
        <v>1892703</v>
      </c>
      <c r="J341" s="88"/>
    </row>
    <row r="342" spans="1:10" ht="15">
      <c r="A342" s="58"/>
      <c r="B342" s="70"/>
      <c r="C342" s="45" t="s">
        <v>362</v>
      </c>
      <c r="D342" s="42"/>
      <c r="E342" s="42"/>
      <c r="F342" s="69"/>
      <c r="G342" s="42"/>
      <c r="H342" s="42"/>
      <c r="I342" s="99">
        <v>406800</v>
      </c>
      <c r="J342" s="88"/>
    </row>
    <row r="343" spans="1:10" ht="15">
      <c r="A343" s="58"/>
      <c r="B343" s="70">
        <v>2</v>
      </c>
      <c r="C343" s="45" t="s">
        <v>539</v>
      </c>
      <c r="D343" s="60"/>
      <c r="E343" s="60"/>
      <c r="F343" s="69"/>
      <c r="G343" s="60"/>
      <c r="H343" s="60"/>
      <c r="I343" s="99"/>
      <c r="J343" s="88"/>
    </row>
    <row r="344" spans="1:10" ht="15">
      <c r="A344" s="58"/>
      <c r="B344" s="70"/>
      <c r="C344" s="45" t="s">
        <v>624</v>
      </c>
      <c r="D344" s="60"/>
      <c r="E344" s="60"/>
      <c r="F344" s="69"/>
      <c r="G344" s="60"/>
      <c r="H344" s="60"/>
      <c r="I344" s="99">
        <v>61000</v>
      </c>
      <c r="J344" s="88"/>
    </row>
    <row r="345" spans="1:10" ht="15">
      <c r="A345" s="58"/>
      <c r="B345" s="70"/>
      <c r="C345" s="45" t="s">
        <v>625</v>
      </c>
      <c r="D345" s="60"/>
      <c r="E345" s="60"/>
      <c r="F345" s="69"/>
      <c r="G345" s="60"/>
      <c r="H345" s="60"/>
      <c r="I345" s="99">
        <v>100000</v>
      </c>
      <c r="J345" s="88"/>
    </row>
    <row r="346" spans="1:10" ht="15">
      <c r="A346" s="58"/>
      <c r="B346" s="70"/>
      <c r="C346" s="45" t="s">
        <v>633</v>
      </c>
      <c r="D346" s="60"/>
      <c r="E346" s="60"/>
      <c r="F346" s="69"/>
      <c r="G346" s="60"/>
      <c r="H346" s="60"/>
      <c r="I346" s="99">
        <f>5974000-447800</f>
        <v>5526200</v>
      </c>
      <c r="J346" s="88"/>
    </row>
    <row r="347" spans="1:10" ht="15">
      <c r="A347" s="58"/>
      <c r="B347" s="70">
        <v>4</v>
      </c>
      <c r="C347" s="45" t="s">
        <v>390</v>
      </c>
      <c r="D347" s="60"/>
      <c r="E347" s="60"/>
      <c r="F347" s="69"/>
      <c r="G347" s="60"/>
      <c r="H347" s="60"/>
      <c r="I347" s="99"/>
      <c r="J347" s="88"/>
    </row>
    <row r="348" spans="1:10" ht="15">
      <c r="A348" s="58"/>
      <c r="B348" s="70"/>
      <c r="C348" s="45" t="s">
        <v>623</v>
      </c>
      <c r="D348" s="60"/>
      <c r="E348" s="60"/>
      <c r="F348" s="69"/>
      <c r="G348" s="60"/>
      <c r="H348" s="60"/>
      <c r="I348" s="99">
        <v>1500000</v>
      </c>
      <c r="J348" s="88"/>
    </row>
    <row r="349" spans="1:11" ht="15">
      <c r="A349" s="58"/>
      <c r="B349" s="70"/>
      <c r="C349" s="45" t="s">
        <v>637</v>
      </c>
      <c r="D349" s="60"/>
      <c r="E349" s="60"/>
      <c r="F349" s="69"/>
      <c r="G349" s="60"/>
      <c r="H349" s="60"/>
      <c r="I349" s="99">
        <v>1000000</v>
      </c>
      <c r="J349" s="88"/>
      <c r="K349" s="88"/>
    </row>
    <row r="350" spans="1:10" ht="15">
      <c r="A350" s="58"/>
      <c r="B350" s="70"/>
      <c r="C350" s="45" t="s">
        <v>638</v>
      </c>
      <c r="D350" s="60"/>
      <c r="E350" s="60"/>
      <c r="F350" s="69"/>
      <c r="G350" s="60"/>
      <c r="H350" s="60"/>
      <c r="I350" s="99">
        <v>500000</v>
      </c>
      <c r="J350" s="88"/>
    </row>
    <row r="351" spans="1:10" ht="15">
      <c r="A351" s="58"/>
      <c r="B351" s="70"/>
      <c r="C351" s="45" t="s">
        <v>640</v>
      </c>
      <c r="D351" s="60"/>
      <c r="E351" s="60"/>
      <c r="F351" s="69"/>
      <c r="G351" s="60"/>
      <c r="H351" s="60"/>
      <c r="I351" s="99">
        <v>1000000</v>
      </c>
      <c r="J351" s="88"/>
    </row>
    <row r="352" spans="1:10" ht="15">
      <c r="A352" s="58"/>
      <c r="B352" s="70">
        <v>5</v>
      </c>
      <c r="C352" s="45" t="s">
        <v>509</v>
      </c>
      <c r="D352" s="60"/>
      <c r="E352" s="60"/>
      <c r="F352" s="69"/>
      <c r="G352" s="60"/>
      <c r="H352" s="60"/>
      <c r="I352" s="99"/>
      <c r="J352" s="88"/>
    </row>
    <row r="353" spans="1:10" ht="15">
      <c r="A353" s="58"/>
      <c r="B353" s="70"/>
      <c r="C353" s="45" t="s">
        <v>888</v>
      </c>
      <c r="D353" s="60"/>
      <c r="E353" s="60"/>
      <c r="F353" s="69"/>
      <c r="G353" s="60"/>
      <c r="H353" s="60"/>
      <c r="I353" s="99">
        <v>950000</v>
      </c>
      <c r="J353" s="88"/>
    </row>
    <row r="354" spans="1:10" ht="15">
      <c r="A354" s="58"/>
      <c r="B354" s="70"/>
      <c r="C354" s="45" t="s">
        <v>602</v>
      </c>
      <c r="D354" s="60"/>
      <c r="E354" s="60"/>
      <c r="F354" s="69"/>
      <c r="G354" s="60"/>
      <c r="H354" s="60"/>
      <c r="I354" s="99">
        <v>35000</v>
      </c>
      <c r="J354" s="88"/>
    </row>
    <row r="355" spans="1:10" ht="15">
      <c r="A355" s="58"/>
      <c r="B355" s="70">
        <v>6</v>
      </c>
      <c r="C355" s="45" t="s">
        <v>595</v>
      </c>
      <c r="D355" s="60"/>
      <c r="E355" s="60"/>
      <c r="F355" s="69"/>
      <c r="G355" s="60"/>
      <c r="H355" s="60"/>
      <c r="I355" s="99"/>
      <c r="J355" s="88"/>
    </row>
    <row r="356" spans="1:10" ht="15">
      <c r="A356" s="58"/>
      <c r="B356" s="70"/>
      <c r="C356" s="45" t="s">
        <v>639</v>
      </c>
      <c r="D356" s="60"/>
      <c r="E356" s="60"/>
      <c r="F356" s="69"/>
      <c r="G356" s="60"/>
      <c r="H356" s="60"/>
      <c r="I356" s="99">
        <v>450000</v>
      </c>
      <c r="J356" s="88"/>
    </row>
    <row r="357" spans="1:10" ht="15">
      <c r="A357" s="58"/>
      <c r="B357" s="70">
        <v>7</v>
      </c>
      <c r="C357" s="45" t="s">
        <v>647</v>
      </c>
      <c r="D357" s="60"/>
      <c r="E357" s="60"/>
      <c r="F357" s="69"/>
      <c r="G357" s="60"/>
      <c r="H357" s="60"/>
      <c r="I357" s="99">
        <f>2425000-498250</f>
        <v>1926750</v>
      </c>
      <c r="J357" s="88"/>
    </row>
    <row r="358" spans="1:10" ht="15">
      <c r="A358" s="58"/>
      <c r="B358" s="70">
        <v>8</v>
      </c>
      <c r="C358" s="45" t="s">
        <v>657</v>
      </c>
      <c r="D358" s="60"/>
      <c r="E358" s="60"/>
      <c r="F358" s="69"/>
      <c r="G358" s="60"/>
      <c r="H358" s="60"/>
      <c r="I358" s="99">
        <v>2447600</v>
      </c>
      <c r="J358" s="88"/>
    </row>
    <row r="359" spans="1:10" ht="15">
      <c r="A359" s="58"/>
      <c r="B359" s="70">
        <v>9</v>
      </c>
      <c r="C359" s="45" t="s">
        <v>599</v>
      </c>
      <c r="D359" s="60"/>
      <c r="E359" s="60"/>
      <c r="F359" s="69"/>
      <c r="G359" s="60"/>
      <c r="H359" s="60"/>
      <c r="I359" s="99"/>
      <c r="J359" s="88"/>
    </row>
    <row r="360" spans="1:10" ht="15">
      <c r="A360" s="58"/>
      <c r="B360" s="70"/>
      <c r="C360" s="45" t="s">
        <v>626</v>
      </c>
      <c r="D360" s="60"/>
      <c r="E360" s="60"/>
      <c r="F360" s="69"/>
      <c r="G360" s="60"/>
      <c r="H360" s="60"/>
      <c r="I360" s="99">
        <v>32500000</v>
      </c>
      <c r="J360" s="88"/>
    </row>
    <row r="361" spans="1:10" ht="15">
      <c r="A361" s="58"/>
      <c r="B361" s="70"/>
      <c r="C361" s="45" t="s">
        <v>630</v>
      </c>
      <c r="D361" s="60"/>
      <c r="E361" s="60"/>
      <c r="F361" s="69"/>
      <c r="G361" s="60"/>
      <c r="H361" s="60"/>
      <c r="I361" s="99"/>
      <c r="J361" s="88"/>
    </row>
    <row r="362" spans="1:10" ht="15">
      <c r="A362" s="58"/>
      <c r="B362" s="70"/>
      <c r="C362" s="45" t="s">
        <v>627</v>
      </c>
      <c r="D362" s="60"/>
      <c r="E362" s="60"/>
      <c r="F362" s="69"/>
      <c r="G362" s="60"/>
      <c r="H362" s="60"/>
      <c r="I362" s="99">
        <f>202500*6+1002500*2</f>
        <v>3220000</v>
      </c>
      <c r="J362" s="88"/>
    </row>
    <row r="363" spans="1:11" ht="15">
      <c r="A363" s="58"/>
      <c r="B363" s="70"/>
      <c r="C363" s="46" t="s">
        <v>628</v>
      </c>
      <c r="D363" s="60"/>
      <c r="E363" s="60"/>
      <c r="F363" s="69"/>
      <c r="G363" s="60"/>
      <c r="H363" s="60"/>
      <c r="I363" s="99">
        <v>1500000</v>
      </c>
      <c r="J363" s="88"/>
      <c r="K363" s="88"/>
    </row>
    <row r="364" spans="1:12" ht="15">
      <c r="A364" s="58"/>
      <c r="B364" s="70"/>
      <c r="C364" s="45" t="s">
        <v>629</v>
      </c>
      <c r="D364" s="60"/>
      <c r="E364" s="60"/>
      <c r="F364" s="69"/>
      <c r="G364" s="60"/>
      <c r="H364" s="60"/>
      <c r="I364" s="99">
        <f>9258500+2536750</f>
        <v>11795250</v>
      </c>
      <c r="J364" s="88"/>
      <c r="L364" s="88"/>
    </row>
    <row r="365" spans="1:10" ht="15">
      <c r="A365" s="58"/>
      <c r="B365" s="70"/>
      <c r="C365" s="45" t="s">
        <v>631</v>
      </c>
      <c r="D365" s="60"/>
      <c r="E365" s="60"/>
      <c r="F365" s="69"/>
      <c r="G365" s="60"/>
      <c r="H365" s="60"/>
      <c r="I365" s="99">
        <f>14200000+3075000</f>
        <v>17275000</v>
      </c>
      <c r="J365" s="88"/>
    </row>
    <row r="366" spans="1:12" ht="15">
      <c r="A366" s="58"/>
      <c r="B366" s="70"/>
      <c r="C366" s="45" t="s">
        <v>646</v>
      </c>
      <c r="D366" s="60"/>
      <c r="E366" s="60"/>
      <c r="F366" s="69"/>
      <c r="G366" s="60"/>
      <c r="H366" s="60"/>
      <c r="I366" s="99">
        <f>4187600-677600</f>
        <v>3510000</v>
      </c>
      <c r="J366" s="88"/>
      <c r="L366" s="88"/>
    </row>
    <row r="367" spans="1:12" ht="15">
      <c r="A367" s="58"/>
      <c r="B367" s="70">
        <v>10</v>
      </c>
      <c r="C367" s="46" t="s">
        <v>563</v>
      </c>
      <c r="D367" s="60"/>
      <c r="E367" s="60"/>
      <c r="F367" s="69"/>
      <c r="G367" s="60"/>
      <c r="H367" s="60"/>
      <c r="I367" s="117">
        <v>17377160</v>
      </c>
      <c r="J367" s="88"/>
      <c r="L367" s="88"/>
    </row>
    <row r="368" spans="1:10" ht="15">
      <c r="A368" s="56"/>
      <c r="B368" s="241" t="s">
        <v>5</v>
      </c>
      <c r="C368" s="245"/>
      <c r="D368" s="245"/>
      <c r="E368" s="245"/>
      <c r="F368" s="65"/>
      <c r="G368" s="65"/>
      <c r="H368" s="71"/>
      <c r="I368" s="57">
        <f>SUM(I340:I367)</f>
        <v>104973463</v>
      </c>
      <c r="J368" s="115"/>
    </row>
    <row r="369" spans="1:9" ht="15">
      <c r="A369" s="39"/>
      <c r="B369" s="39"/>
      <c r="C369" s="39"/>
      <c r="D369" s="39"/>
      <c r="E369" s="39"/>
      <c r="F369" s="39" t="s">
        <v>198</v>
      </c>
      <c r="G369" s="39"/>
      <c r="H369" s="39"/>
      <c r="I369" s="39" t="s">
        <v>198</v>
      </c>
    </row>
    <row r="370" spans="1:10" ht="15">
      <c r="A370" s="39"/>
      <c r="B370" s="39"/>
      <c r="C370" s="39"/>
      <c r="D370" s="38"/>
      <c r="E370" s="38"/>
      <c r="F370" s="240" t="s">
        <v>651</v>
      </c>
      <c r="G370" s="240"/>
      <c r="H370" s="240"/>
      <c r="I370" s="240"/>
      <c r="J370" s="105"/>
    </row>
    <row r="371" spans="1:9" ht="15">
      <c r="A371" s="39"/>
      <c r="B371" s="39"/>
      <c r="C371" s="38" t="s">
        <v>199</v>
      </c>
      <c r="D371" s="38"/>
      <c r="E371" s="38"/>
      <c r="F371" s="240" t="s">
        <v>268</v>
      </c>
      <c r="G371" s="240"/>
      <c r="H371" s="240"/>
      <c r="I371" s="240"/>
    </row>
    <row r="372" spans="1:8" ht="15">
      <c r="A372" s="39"/>
      <c r="B372" s="39"/>
      <c r="C372" s="39"/>
      <c r="D372" s="39"/>
      <c r="E372" s="39"/>
      <c r="G372" s="39"/>
      <c r="H372" s="39"/>
    </row>
    <row r="373" spans="1:8" ht="15">
      <c r="A373" s="39"/>
      <c r="B373" s="61"/>
      <c r="C373" s="272" t="s">
        <v>866</v>
      </c>
      <c r="D373" s="39"/>
      <c r="E373" s="39"/>
      <c r="G373" s="270" t="s">
        <v>866</v>
      </c>
      <c r="H373" s="39"/>
    </row>
    <row r="374" spans="1:9" ht="15">
      <c r="A374" s="39"/>
      <c r="B374" s="61"/>
      <c r="C374" s="38" t="s">
        <v>269</v>
      </c>
      <c r="D374" s="62"/>
      <c r="E374" s="62"/>
      <c r="F374" s="240" t="s">
        <v>351</v>
      </c>
      <c r="G374" s="240"/>
      <c r="H374" s="240"/>
      <c r="I374" s="240"/>
    </row>
    <row r="375" spans="6:9" ht="15">
      <c r="F375" s="240"/>
      <c r="G375" s="240"/>
      <c r="H375" s="240"/>
      <c r="I375" s="240"/>
    </row>
    <row r="376" spans="6:9" ht="15">
      <c r="F376" s="240"/>
      <c r="G376" s="240"/>
      <c r="H376" s="240"/>
      <c r="I376" s="240"/>
    </row>
  </sheetData>
  <sheetProtection/>
  <mergeCells count="76">
    <mergeCell ref="E54:F54"/>
    <mergeCell ref="F374:I374"/>
    <mergeCell ref="F375:I375"/>
    <mergeCell ref="F376:I376"/>
    <mergeCell ref="A303:I303"/>
    <mergeCell ref="B305:B306"/>
    <mergeCell ref="C305:H306"/>
    <mergeCell ref="B335:E335"/>
    <mergeCell ref="B338:B339"/>
    <mergeCell ref="C338:H339"/>
    <mergeCell ref="B368:E368"/>
    <mergeCell ref="F370:I370"/>
    <mergeCell ref="F371:I371"/>
    <mergeCell ref="A257:I257"/>
    <mergeCell ref="A293:C293"/>
    <mergeCell ref="A294:C294"/>
    <mergeCell ref="F296:I296"/>
    <mergeCell ref="F297:I297"/>
    <mergeCell ref="F300:I300"/>
    <mergeCell ref="A162:I162"/>
    <mergeCell ref="A186:C186"/>
    <mergeCell ref="A187:I187"/>
    <mergeCell ref="A245:C245"/>
    <mergeCell ref="A302:I302"/>
    <mergeCell ref="A249:C249"/>
    <mergeCell ref="A250:I250"/>
    <mergeCell ref="A253:C253"/>
    <mergeCell ref="A254:I254"/>
    <mergeCell ref="A256:C256"/>
    <mergeCell ref="A89:I89"/>
    <mergeCell ref="A111:C111"/>
    <mergeCell ref="A246:I246"/>
    <mergeCell ref="A114:C114"/>
    <mergeCell ref="A115:I115"/>
    <mergeCell ref="A117:C117"/>
    <mergeCell ref="A118:I118"/>
    <mergeCell ref="A139:C139"/>
    <mergeCell ref="A140:I140"/>
    <mergeCell ref="A161:C161"/>
    <mergeCell ref="A112:I112"/>
    <mergeCell ref="G67:H67"/>
    <mergeCell ref="A69:I69"/>
    <mergeCell ref="A72:C72"/>
    <mergeCell ref="A73:I73"/>
    <mergeCell ref="A75:C75"/>
    <mergeCell ref="A76:I76"/>
    <mergeCell ref="A78:C78"/>
    <mergeCell ref="A79:I79"/>
    <mergeCell ref="A88:C88"/>
    <mergeCell ref="A62:I62"/>
    <mergeCell ref="A63:I63"/>
    <mergeCell ref="A64:I64"/>
    <mergeCell ref="A66:A68"/>
    <mergeCell ref="B66:C68"/>
    <mergeCell ref="D66:E66"/>
    <mergeCell ref="F66:F68"/>
    <mergeCell ref="G66:H66"/>
    <mergeCell ref="I66:I68"/>
    <mergeCell ref="D67:E67"/>
    <mergeCell ref="F25:F26"/>
    <mergeCell ref="A1:F1"/>
    <mergeCell ref="A2:F2"/>
    <mergeCell ref="A3:F3"/>
    <mergeCell ref="A4:F4"/>
    <mergeCell ref="A5:F5"/>
    <mergeCell ref="E7:F7"/>
    <mergeCell ref="E52:F52"/>
    <mergeCell ref="E55:F55"/>
    <mergeCell ref="A8:B8"/>
    <mergeCell ref="A9:B9"/>
    <mergeCell ref="A10:B10"/>
    <mergeCell ref="E24:F24"/>
    <mergeCell ref="B25:B26"/>
    <mergeCell ref="C25:C26"/>
    <mergeCell ref="D25:D26"/>
    <mergeCell ref="E25:E26"/>
  </mergeCells>
  <printOptions/>
  <pageMargins left="0.44" right="0.41" top="0.75" bottom="1.31" header="0.3" footer="0.3"/>
  <pageSetup orientation="portrait" paperSize="5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3"/>
  <sheetViews>
    <sheetView zoomScale="80" zoomScaleNormal="80" zoomScalePageLayoutView="0" workbookViewId="0" topLeftCell="A127">
      <selection activeCell="B13" sqref="B13:B18"/>
    </sheetView>
  </sheetViews>
  <sheetFormatPr defaultColWidth="11.00390625" defaultRowHeight="15"/>
  <cols>
    <col min="1" max="1" width="5.140625" style="0" bestFit="1" customWidth="1"/>
    <col min="2" max="2" width="4.28125" style="0" bestFit="1" customWidth="1"/>
    <col min="3" max="3" width="36.57421875" style="0" customWidth="1"/>
    <col min="4" max="4" width="18.7109375" style="0" customWidth="1"/>
    <col min="5" max="6" width="20.7109375" style="0" customWidth="1"/>
    <col min="7" max="9" width="15.7109375" style="0" customWidth="1"/>
    <col min="10" max="10" width="14.7109375" style="0" customWidth="1"/>
    <col min="11" max="11" width="14.0039062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846</v>
      </c>
      <c r="F7" s="259"/>
    </row>
    <row r="8" spans="1:6" ht="18.75">
      <c r="A8" s="246" t="s">
        <v>748</v>
      </c>
      <c r="B8" s="246"/>
      <c r="C8" s="136" t="s">
        <v>847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200"/>
      <c r="F20" s="200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784</v>
      </c>
      <c r="C22" s="135"/>
      <c r="D22" s="135"/>
      <c r="E22" s="135"/>
      <c r="F22" s="137"/>
    </row>
    <row r="23" spans="2:6" ht="18.75">
      <c r="B23" s="135" t="s">
        <v>848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 customHeight="1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 customHeight="1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849</v>
      </c>
      <c r="D29" s="147"/>
      <c r="E29" s="147"/>
      <c r="F29" s="148">
        <f>'[1]Oktober'!F28</f>
        <v>1319705877</v>
      </c>
    </row>
    <row r="30" spans="1:6" ht="18.75">
      <c r="A30" s="140"/>
      <c r="B30" s="145"/>
      <c r="C30" s="146" t="s">
        <v>850</v>
      </c>
      <c r="D30" s="200">
        <v>89512953</v>
      </c>
      <c r="E30" s="150"/>
      <c r="F30" s="147"/>
    </row>
    <row r="31" spans="1:6" ht="18.75">
      <c r="A31" s="140"/>
      <c r="B31" s="145"/>
      <c r="C31" s="146" t="s">
        <v>851</v>
      </c>
      <c r="D31" s="147"/>
      <c r="E31" s="202">
        <v>288078100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1121140730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849</v>
      </c>
      <c r="D34" s="157"/>
      <c r="E34" s="158"/>
      <c r="F34" s="157">
        <f>'[1]Oktober'!F33</f>
        <v>2675000</v>
      </c>
    </row>
    <row r="35" spans="1:6" ht="18.75">
      <c r="A35" s="140"/>
      <c r="B35" s="145"/>
      <c r="C35" s="146" t="s">
        <v>850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851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89512953</v>
      </c>
      <c r="E38" s="160">
        <f>E31+E36</f>
        <v>288078100</v>
      </c>
      <c r="F38" s="161">
        <f>F32+F37</f>
        <v>1123815730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849</v>
      </c>
      <c r="D41" s="147"/>
      <c r="E41" s="166"/>
      <c r="F41" s="160">
        <f>'[1]Oktober'!F40</f>
        <v>1353421006</v>
      </c>
    </row>
    <row r="42" spans="1:6" ht="18.75">
      <c r="A42" s="167"/>
      <c r="B42" s="145"/>
      <c r="C42" s="146" t="s">
        <v>850</v>
      </c>
      <c r="D42" s="200">
        <v>46046080</v>
      </c>
      <c r="E42" s="168"/>
      <c r="F42" s="166"/>
    </row>
    <row r="43" spans="1:6" ht="18.75">
      <c r="A43" s="140"/>
      <c r="B43" s="145"/>
      <c r="C43" s="146" t="s">
        <v>851</v>
      </c>
      <c r="D43" s="150"/>
      <c r="E43" s="169">
        <f>40807817</f>
        <v>40807817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1358659269</v>
      </c>
    </row>
    <row r="45" spans="1:6" ht="18.75">
      <c r="A45" s="140"/>
      <c r="B45" s="145"/>
      <c r="C45" s="171" t="s">
        <v>852</v>
      </c>
      <c r="D45" s="172">
        <f>D30+D42</f>
        <v>135559033</v>
      </c>
      <c r="E45" s="172">
        <f>E31+E43</f>
        <v>328885917</v>
      </c>
      <c r="F45" s="173">
        <f>F38+F44</f>
        <v>2482474999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97"/>
    </row>
    <row r="49" spans="1:6" ht="18.75">
      <c r="A49" s="175"/>
      <c r="B49" s="176" t="s">
        <v>773</v>
      </c>
      <c r="C49" s="137"/>
      <c r="D49" s="177"/>
      <c r="E49" s="137"/>
      <c r="F49" s="197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2" spans="1:9" ht="22.5">
      <c r="A62" s="206" t="s">
        <v>0</v>
      </c>
      <c r="B62" s="206"/>
      <c r="C62" s="206"/>
      <c r="D62" s="206"/>
      <c r="E62" s="206"/>
      <c r="F62" s="206"/>
      <c r="G62" s="206"/>
      <c r="H62" s="206"/>
      <c r="I62" s="206"/>
    </row>
    <row r="63" spans="1:9" ht="22.5">
      <c r="A63" s="206" t="s">
        <v>1</v>
      </c>
      <c r="B63" s="206"/>
      <c r="C63" s="206"/>
      <c r="D63" s="206"/>
      <c r="E63" s="206"/>
      <c r="F63" s="206"/>
      <c r="G63" s="206"/>
      <c r="H63" s="206"/>
      <c r="I63" s="206"/>
    </row>
    <row r="64" spans="1:9" ht="20.25">
      <c r="A64" s="207" t="s">
        <v>660</v>
      </c>
      <c r="B64" s="207"/>
      <c r="C64" s="207"/>
      <c r="D64" s="207"/>
      <c r="E64" s="207"/>
      <c r="F64" s="207"/>
      <c r="G64" s="207"/>
      <c r="H64" s="207"/>
      <c r="I64" s="207"/>
    </row>
    <row r="65" spans="1:9" ht="15.75" thickBot="1">
      <c r="A65" s="1"/>
      <c r="B65" s="1"/>
      <c r="C65" s="1"/>
      <c r="D65" s="1"/>
      <c r="E65" s="1"/>
      <c r="F65" s="1"/>
      <c r="G65" s="1"/>
      <c r="H65" s="1"/>
      <c r="I65" s="1"/>
    </row>
    <row r="66" spans="1:9" ht="15.75" thickTop="1">
      <c r="A66" s="208" t="s">
        <v>2</v>
      </c>
      <c r="B66" s="211" t="s">
        <v>3</v>
      </c>
      <c r="C66" s="267"/>
      <c r="D66" s="217" t="s">
        <v>4</v>
      </c>
      <c r="E66" s="218"/>
      <c r="F66" s="219" t="s">
        <v>5</v>
      </c>
      <c r="G66" s="217" t="s">
        <v>4</v>
      </c>
      <c r="H66" s="218"/>
      <c r="I66" s="219" t="s">
        <v>5</v>
      </c>
    </row>
    <row r="67" spans="1:9" ht="15">
      <c r="A67" s="209"/>
      <c r="B67" s="213"/>
      <c r="C67" s="268"/>
      <c r="D67" s="222" t="s">
        <v>614</v>
      </c>
      <c r="E67" s="223"/>
      <c r="F67" s="220"/>
      <c r="G67" s="222" t="s">
        <v>661</v>
      </c>
      <c r="H67" s="223"/>
      <c r="I67" s="220"/>
    </row>
    <row r="68" spans="1:12" ht="15">
      <c r="A68" s="210"/>
      <c r="B68" s="215"/>
      <c r="C68" s="269"/>
      <c r="D68" s="2" t="s">
        <v>6</v>
      </c>
      <c r="E68" s="2" t="s">
        <v>7</v>
      </c>
      <c r="F68" s="221"/>
      <c r="G68" s="2" t="s">
        <v>6</v>
      </c>
      <c r="H68" s="2" t="s">
        <v>7</v>
      </c>
      <c r="I68" s="221"/>
      <c r="L68" t="s">
        <v>198</v>
      </c>
    </row>
    <row r="69" spans="1:9" ht="15">
      <c r="A69" s="230" t="s">
        <v>8</v>
      </c>
      <c r="B69" s="231"/>
      <c r="C69" s="231"/>
      <c r="D69" s="231"/>
      <c r="E69" s="231"/>
      <c r="F69" s="231"/>
      <c r="G69" s="231"/>
      <c r="H69" s="231"/>
      <c r="I69" s="232"/>
    </row>
    <row r="70" spans="1:9" ht="15">
      <c r="A70" s="80">
        <v>1</v>
      </c>
      <c r="B70" s="3">
        <v>1</v>
      </c>
      <c r="C70" s="4" t="s">
        <v>9</v>
      </c>
      <c r="D70" s="5"/>
      <c r="E70" s="5">
        <v>5000000</v>
      </c>
      <c r="F70" s="6">
        <f>SUM(D70:E70)</f>
        <v>5000000</v>
      </c>
      <c r="G70" s="5"/>
      <c r="H70" s="5">
        <v>5000000</v>
      </c>
      <c r="I70" s="6">
        <f>SUM(G70:H70)</f>
        <v>5000000</v>
      </c>
    </row>
    <row r="71" spans="1:9" ht="15">
      <c r="A71" s="80">
        <v>2</v>
      </c>
      <c r="B71" s="3">
        <v>2</v>
      </c>
      <c r="C71" s="4" t="s">
        <v>10</v>
      </c>
      <c r="D71" s="5"/>
      <c r="E71" s="5"/>
      <c r="F71" s="6">
        <f>SUM(D71:E71)</f>
        <v>0</v>
      </c>
      <c r="G71" s="5"/>
      <c r="H71" s="5"/>
      <c r="I71" s="6">
        <f>SUM(G71:H71)</f>
        <v>0</v>
      </c>
    </row>
    <row r="72" spans="1:9" ht="15">
      <c r="A72" s="224" t="s">
        <v>5</v>
      </c>
      <c r="B72" s="225"/>
      <c r="C72" s="225"/>
      <c r="D72" s="7">
        <f>SUM(D70:D71)</f>
        <v>0</v>
      </c>
      <c r="E72" s="8">
        <f>SUM(E70:E71)</f>
        <v>5000000</v>
      </c>
      <c r="F72" s="7">
        <f>SUM(D72:E72)</f>
        <v>5000000</v>
      </c>
      <c r="G72" s="7">
        <f>SUM(G70:G71)</f>
        <v>0</v>
      </c>
      <c r="H72" s="8">
        <f>SUM(H70:H71)</f>
        <v>5000000</v>
      </c>
      <c r="I72" s="7">
        <f>SUM(G72:H72)</f>
        <v>5000000</v>
      </c>
    </row>
    <row r="73" spans="1:9" ht="15">
      <c r="A73" s="224" t="s">
        <v>564</v>
      </c>
      <c r="B73" s="225"/>
      <c r="C73" s="225"/>
      <c r="D73" s="225"/>
      <c r="E73" s="225"/>
      <c r="F73" s="225"/>
      <c r="G73" s="225"/>
      <c r="H73" s="225"/>
      <c r="I73" s="226"/>
    </row>
    <row r="74" spans="1:9" ht="15">
      <c r="A74" s="111">
        <v>3</v>
      </c>
      <c r="B74" s="111">
        <v>1</v>
      </c>
      <c r="C74" s="22" t="s">
        <v>565</v>
      </c>
      <c r="D74" s="5"/>
      <c r="E74" s="14"/>
      <c r="F74" s="5">
        <f>SUM(D74:E74)</f>
        <v>0</v>
      </c>
      <c r="G74" s="5"/>
      <c r="H74" s="14"/>
      <c r="I74" s="5">
        <f>SUM(G74:H74)</f>
        <v>0</v>
      </c>
    </row>
    <row r="75" spans="1:9" ht="15">
      <c r="A75" s="239" t="s">
        <v>5</v>
      </c>
      <c r="B75" s="239"/>
      <c r="C75" s="239"/>
      <c r="D75" s="7">
        <f aca="true" t="shared" si="0" ref="D75:I75">SUM(D74)</f>
        <v>0</v>
      </c>
      <c r="E75" s="7">
        <f t="shared" si="0"/>
        <v>0</v>
      </c>
      <c r="F75" s="7">
        <f t="shared" si="0"/>
        <v>0</v>
      </c>
      <c r="G75" s="7">
        <f t="shared" si="0"/>
        <v>0</v>
      </c>
      <c r="H75" s="7">
        <f t="shared" si="0"/>
        <v>0</v>
      </c>
      <c r="I75" s="7">
        <f t="shared" si="0"/>
        <v>0</v>
      </c>
    </row>
    <row r="76" spans="1:9" ht="15">
      <c r="A76" s="227" t="s">
        <v>11</v>
      </c>
      <c r="B76" s="228"/>
      <c r="C76" s="228"/>
      <c r="D76" s="228"/>
      <c r="E76" s="228"/>
      <c r="F76" s="228"/>
      <c r="G76" s="228"/>
      <c r="H76" s="228"/>
      <c r="I76" s="229"/>
    </row>
    <row r="77" spans="1:9" ht="15">
      <c r="A77" s="9">
        <v>4</v>
      </c>
      <c r="B77" s="9">
        <v>1</v>
      </c>
      <c r="C77" s="10" t="s">
        <v>12</v>
      </c>
      <c r="D77" s="5">
        <v>2308349</v>
      </c>
      <c r="E77" s="5"/>
      <c r="F77" s="6">
        <f>SUM(D77:E77)</f>
        <v>2308349</v>
      </c>
      <c r="G77" s="5">
        <v>2321604</v>
      </c>
      <c r="H77" s="5"/>
      <c r="I77" s="6">
        <f>SUM(G77:H77)</f>
        <v>2321604</v>
      </c>
    </row>
    <row r="78" spans="1:9" ht="15">
      <c r="A78" s="224" t="s">
        <v>5</v>
      </c>
      <c r="B78" s="225"/>
      <c r="C78" s="225"/>
      <c r="D78" s="7">
        <f>SUM(D76:D77)</f>
        <v>2308349</v>
      </c>
      <c r="E78" s="8">
        <f>SUM(E76:E77)</f>
        <v>0</v>
      </c>
      <c r="F78" s="7">
        <f>SUM(D78:E78)</f>
        <v>2308349</v>
      </c>
      <c r="G78" s="7">
        <f>SUM(G76:G77)</f>
        <v>2321604</v>
      </c>
      <c r="H78" s="8">
        <f>SUM(H76:H77)</f>
        <v>0</v>
      </c>
      <c r="I78" s="7">
        <f>SUM(G78:H78)</f>
        <v>2321604</v>
      </c>
    </row>
    <row r="79" spans="1:9" ht="15">
      <c r="A79" s="224" t="s">
        <v>13</v>
      </c>
      <c r="B79" s="225"/>
      <c r="C79" s="225"/>
      <c r="D79" s="225"/>
      <c r="E79" s="225"/>
      <c r="F79" s="225"/>
      <c r="G79" s="225"/>
      <c r="H79" s="225"/>
      <c r="I79" s="226"/>
    </row>
    <row r="80" spans="1:9" ht="15">
      <c r="A80" s="11">
        <v>5</v>
      </c>
      <c r="B80" s="12">
        <v>1</v>
      </c>
      <c r="C80" s="95" t="s">
        <v>312</v>
      </c>
      <c r="D80" s="5">
        <v>2250000</v>
      </c>
      <c r="E80" s="5">
        <v>579000</v>
      </c>
      <c r="F80" s="6">
        <f aca="true" t="shared" si="1" ref="F80:F88">SUM(D80:E80)</f>
        <v>2829000</v>
      </c>
      <c r="G80" s="5">
        <v>2264600</v>
      </c>
      <c r="H80" s="5">
        <v>569000</v>
      </c>
      <c r="I80" s="6">
        <f aca="true" t="shared" si="2" ref="I80:I87">SUM(G80:H80)</f>
        <v>2833600</v>
      </c>
    </row>
    <row r="81" spans="1:9" ht="15">
      <c r="A81" s="11">
        <v>6</v>
      </c>
      <c r="B81" s="12">
        <v>2</v>
      </c>
      <c r="C81" s="13" t="s">
        <v>234</v>
      </c>
      <c r="D81" s="5">
        <v>1600558</v>
      </c>
      <c r="E81" s="5">
        <v>204550</v>
      </c>
      <c r="F81" s="6">
        <f t="shared" si="1"/>
        <v>1805108</v>
      </c>
      <c r="G81" s="5">
        <v>1348475</v>
      </c>
      <c r="H81" s="5">
        <v>233550</v>
      </c>
      <c r="I81" s="6">
        <f t="shared" si="2"/>
        <v>1582025</v>
      </c>
    </row>
    <row r="82" spans="1:9" ht="15">
      <c r="A82" s="11">
        <v>7</v>
      </c>
      <c r="B82" s="12">
        <v>3</v>
      </c>
      <c r="C82" s="13" t="s">
        <v>15</v>
      </c>
      <c r="D82" s="5">
        <v>2455350</v>
      </c>
      <c r="E82" s="14">
        <v>107000</v>
      </c>
      <c r="F82" s="6">
        <f t="shared" si="1"/>
        <v>2562350</v>
      </c>
      <c r="G82" s="5">
        <v>2483400</v>
      </c>
      <c r="H82" s="14">
        <v>107100</v>
      </c>
      <c r="I82" s="6">
        <f t="shared" si="2"/>
        <v>2590500</v>
      </c>
    </row>
    <row r="83" spans="1:9" ht="15">
      <c r="A83" s="11">
        <v>8</v>
      </c>
      <c r="B83" s="12">
        <v>4</v>
      </c>
      <c r="C83" s="13" t="s">
        <v>16</v>
      </c>
      <c r="D83" s="5"/>
      <c r="E83" s="5"/>
      <c r="F83" s="6">
        <f t="shared" si="1"/>
        <v>0</v>
      </c>
      <c r="G83" s="5"/>
      <c r="H83" s="5"/>
      <c r="I83" s="6">
        <f t="shared" si="2"/>
        <v>0</v>
      </c>
    </row>
    <row r="84" spans="1:9" ht="15">
      <c r="A84" s="11">
        <v>9</v>
      </c>
      <c r="B84" s="12">
        <v>5</v>
      </c>
      <c r="C84" s="13" t="s">
        <v>17</v>
      </c>
      <c r="D84" s="5"/>
      <c r="E84" s="5"/>
      <c r="F84" s="6">
        <f t="shared" si="1"/>
        <v>0</v>
      </c>
      <c r="G84" s="5"/>
      <c r="H84" s="5"/>
      <c r="I84" s="6">
        <f t="shared" si="2"/>
        <v>0</v>
      </c>
    </row>
    <row r="85" spans="1:9" ht="15">
      <c r="A85" s="11">
        <v>10</v>
      </c>
      <c r="B85" s="12">
        <v>6</v>
      </c>
      <c r="C85" s="13" t="s">
        <v>18</v>
      </c>
      <c r="D85" s="5"/>
      <c r="E85" s="5"/>
      <c r="F85" s="6">
        <f t="shared" si="1"/>
        <v>0</v>
      </c>
      <c r="G85" s="5"/>
      <c r="H85" s="5"/>
      <c r="I85" s="6">
        <f t="shared" si="2"/>
        <v>0</v>
      </c>
    </row>
    <row r="86" spans="1:9" ht="15">
      <c r="A86" s="11">
        <v>11</v>
      </c>
      <c r="B86" s="12">
        <v>7</v>
      </c>
      <c r="C86" s="15" t="s">
        <v>19</v>
      </c>
      <c r="D86" s="5">
        <v>209135</v>
      </c>
      <c r="E86" s="5">
        <v>58000</v>
      </c>
      <c r="F86" s="6">
        <f t="shared" si="1"/>
        <v>267135</v>
      </c>
      <c r="G86" s="5">
        <v>140965</v>
      </c>
      <c r="H86" s="5">
        <v>63000</v>
      </c>
      <c r="I86" s="6">
        <f t="shared" si="2"/>
        <v>203965</v>
      </c>
    </row>
    <row r="87" spans="1:9" ht="15">
      <c r="A87" s="11">
        <v>12</v>
      </c>
      <c r="B87" s="12">
        <v>8</v>
      </c>
      <c r="C87" s="13" t="s">
        <v>307</v>
      </c>
      <c r="D87" s="5">
        <v>2488089</v>
      </c>
      <c r="E87" s="5">
        <v>330000</v>
      </c>
      <c r="F87" s="6">
        <f t="shared" si="1"/>
        <v>2818089</v>
      </c>
      <c r="G87" s="5">
        <v>2367649</v>
      </c>
      <c r="H87" s="5">
        <v>313000</v>
      </c>
      <c r="I87" s="6">
        <f t="shared" si="2"/>
        <v>2680649</v>
      </c>
    </row>
    <row r="88" spans="1:11" ht="15">
      <c r="A88" s="224" t="s">
        <v>5</v>
      </c>
      <c r="B88" s="225"/>
      <c r="C88" s="225"/>
      <c r="D88" s="7">
        <f>SUM(D80:D87)</f>
        <v>9003132</v>
      </c>
      <c r="E88" s="7">
        <f>SUM(E80:E87)</f>
        <v>1278550</v>
      </c>
      <c r="F88" s="7">
        <f t="shared" si="1"/>
        <v>10281682</v>
      </c>
      <c r="G88" s="7">
        <f>SUM(G80:G87)</f>
        <v>8605089</v>
      </c>
      <c r="H88" s="7">
        <f>SUM(H80:H87)</f>
        <v>1285650</v>
      </c>
      <c r="I88" s="7">
        <f>SUM(G88:H88)</f>
        <v>9890739</v>
      </c>
      <c r="K88" s="16"/>
    </row>
    <row r="89" spans="1:9" ht="15">
      <c r="A89" s="224" t="s">
        <v>20</v>
      </c>
      <c r="B89" s="225"/>
      <c r="C89" s="225"/>
      <c r="D89" s="225"/>
      <c r="E89" s="225"/>
      <c r="F89" s="225"/>
      <c r="G89" s="225"/>
      <c r="H89" s="225"/>
      <c r="I89" s="226"/>
    </row>
    <row r="90" spans="1:9" ht="15">
      <c r="A90" s="17">
        <v>13</v>
      </c>
      <c r="B90" s="15">
        <v>1</v>
      </c>
      <c r="C90" s="13" t="s">
        <v>255</v>
      </c>
      <c r="D90" s="5">
        <v>2271675</v>
      </c>
      <c r="E90" s="18">
        <v>1274215</v>
      </c>
      <c r="F90" s="6">
        <f aca="true" t="shared" si="3" ref="F90:F110">SUM(D90:E90)</f>
        <v>3545890</v>
      </c>
      <c r="G90" s="5">
        <v>2134103</v>
      </c>
      <c r="H90" s="18">
        <v>1273215</v>
      </c>
      <c r="I90" s="6">
        <f aca="true" t="shared" si="4" ref="I90:I111">SUM(G90:H90)</f>
        <v>3407318</v>
      </c>
    </row>
    <row r="91" spans="1:9" ht="15">
      <c r="A91" s="17">
        <v>14</v>
      </c>
      <c r="B91" s="15">
        <v>2</v>
      </c>
      <c r="C91" s="13" t="s">
        <v>21</v>
      </c>
      <c r="D91" s="5">
        <v>3820545</v>
      </c>
      <c r="E91" s="5">
        <v>5670000</v>
      </c>
      <c r="F91" s="6">
        <f t="shared" si="3"/>
        <v>9490545</v>
      </c>
      <c r="G91" s="5">
        <v>3636950</v>
      </c>
      <c r="H91" s="5">
        <v>5690000</v>
      </c>
      <c r="I91" s="6">
        <f t="shared" si="4"/>
        <v>9326950</v>
      </c>
    </row>
    <row r="92" spans="1:9" ht="15">
      <c r="A92" s="17">
        <v>15</v>
      </c>
      <c r="B92" s="15">
        <v>3</v>
      </c>
      <c r="C92" s="13" t="s">
        <v>314</v>
      </c>
      <c r="D92" s="5">
        <v>1975750</v>
      </c>
      <c r="E92" s="5">
        <v>545000</v>
      </c>
      <c r="F92" s="6">
        <f t="shared" si="3"/>
        <v>2520750</v>
      </c>
      <c r="G92" s="5">
        <v>1840450</v>
      </c>
      <c r="H92" s="5">
        <v>521000</v>
      </c>
      <c r="I92" s="6">
        <f t="shared" si="4"/>
        <v>2361450</v>
      </c>
    </row>
    <row r="93" spans="1:9" ht="15">
      <c r="A93" s="17">
        <v>16</v>
      </c>
      <c r="B93" s="15">
        <v>4</v>
      </c>
      <c r="C93" s="13" t="s">
        <v>253</v>
      </c>
      <c r="D93" s="5">
        <v>603093</v>
      </c>
      <c r="E93" s="5">
        <v>713785</v>
      </c>
      <c r="F93" s="6">
        <f t="shared" si="3"/>
        <v>1316878</v>
      </c>
      <c r="G93" s="5">
        <v>612778</v>
      </c>
      <c r="H93" s="5">
        <v>743785</v>
      </c>
      <c r="I93" s="6">
        <f t="shared" si="4"/>
        <v>1356563</v>
      </c>
    </row>
    <row r="94" spans="1:9" ht="15">
      <c r="A94" s="17">
        <v>17</v>
      </c>
      <c r="B94" s="15">
        <v>5</v>
      </c>
      <c r="C94" s="13" t="s">
        <v>24</v>
      </c>
      <c r="D94" s="5">
        <v>1892400</v>
      </c>
      <c r="E94" s="5">
        <v>85000</v>
      </c>
      <c r="F94" s="6">
        <f t="shared" si="3"/>
        <v>1977400</v>
      </c>
      <c r="G94" s="5">
        <v>1766400</v>
      </c>
      <c r="H94" s="5">
        <v>80000</v>
      </c>
      <c r="I94" s="6">
        <f t="shared" si="4"/>
        <v>1846400</v>
      </c>
    </row>
    <row r="95" spans="1:9" ht="15">
      <c r="A95" s="17">
        <v>18</v>
      </c>
      <c r="B95" s="15">
        <v>6</v>
      </c>
      <c r="C95" s="13" t="s">
        <v>25</v>
      </c>
      <c r="D95" s="5">
        <v>2030000</v>
      </c>
      <c r="E95" s="5">
        <v>414000</v>
      </c>
      <c r="F95" s="6">
        <f t="shared" si="3"/>
        <v>2444000</v>
      </c>
      <c r="G95" s="5">
        <v>2030000</v>
      </c>
      <c r="H95" s="5">
        <v>394000</v>
      </c>
      <c r="I95" s="6">
        <f t="shared" si="4"/>
        <v>2424000</v>
      </c>
    </row>
    <row r="96" spans="1:9" ht="15">
      <c r="A96" s="17">
        <v>19</v>
      </c>
      <c r="B96" s="15">
        <v>7</v>
      </c>
      <c r="C96" s="95" t="s">
        <v>26</v>
      </c>
      <c r="D96" s="5">
        <v>4099300</v>
      </c>
      <c r="E96" s="5">
        <v>182700</v>
      </c>
      <c r="F96" s="6">
        <f t="shared" si="3"/>
        <v>4282000</v>
      </c>
      <c r="G96" s="5">
        <f>1604500+3994100</f>
        <v>5598600</v>
      </c>
      <c r="H96" s="5">
        <v>320000</v>
      </c>
      <c r="I96" s="6">
        <f t="shared" si="4"/>
        <v>5918600</v>
      </c>
    </row>
    <row r="97" spans="1:9" ht="15">
      <c r="A97" s="17">
        <v>20</v>
      </c>
      <c r="B97" s="15">
        <v>8</v>
      </c>
      <c r="C97" s="95" t="s">
        <v>242</v>
      </c>
      <c r="D97" s="5">
        <v>2207500</v>
      </c>
      <c r="E97" s="5"/>
      <c r="F97" s="6">
        <f t="shared" si="3"/>
        <v>2207500</v>
      </c>
      <c r="G97" s="5">
        <v>2063400</v>
      </c>
      <c r="H97" s="5">
        <v>182600</v>
      </c>
      <c r="I97" s="6">
        <f t="shared" si="4"/>
        <v>2246000</v>
      </c>
    </row>
    <row r="98" spans="1:9" ht="15">
      <c r="A98" s="17">
        <v>21</v>
      </c>
      <c r="B98" s="15">
        <v>9</v>
      </c>
      <c r="C98" s="95" t="s">
        <v>28</v>
      </c>
      <c r="D98" s="5"/>
      <c r="E98" s="5"/>
      <c r="F98" s="6">
        <f t="shared" si="3"/>
        <v>0</v>
      </c>
      <c r="G98" s="5">
        <f>1059000*2</f>
        <v>2118000</v>
      </c>
      <c r="H98" s="5">
        <f>257000+257000</f>
        <v>514000</v>
      </c>
      <c r="I98" s="6">
        <f t="shared" si="4"/>
        <v>2632000</v>
      </c>
    </row>
    <row r="99" spans="1:9" ht="15">
      <c r="A99" s="17">
        <v>22</v>
      </c>
      <c r="B99" s="15">
        <v>10</v>
      </c>
      <c r="C99" s="95" t="s">
        <v>203</v>
      </c>
      <c r="D99" s="5">
        <v>3027846</v>
      </c>
      <c r="E99" s="5">
        <v>1440000</v>
      </c>
      <c r="F99" s="6">
        <f t="shared" si="3"/>
        <v>4467846</v>
      </c>
      <c r="G99" s="5">
        <v>3027846</v>
      </c>
      <c r="H99" s="5">
        <v>1440000</v>
      </c>
      <c r="I99" s="6">
        <f t="shared" si="4"/>
        <v>4467846</v>
      </c>
    </row>
    <row r="100" spans="1:9" ht="15">
      <c r="A100" s="17">
        <v>23</v>
      </c>
      <c r="B100" s="15">
        <v>11</v>
      </c>
      <c r="C100" s="95" t="s">
        <v>244</v>
      </c>
      <c r="D100" s="5">
        <v>1454045</v>
      </c>
      <c r="E100" s="5">
        <v>315133</v>
      </c>
      <c r="F100" s="6">
        <f t="shared" si="3"/>
        <v>1769178</v>
      </c>
      <c r="G100" s="5">
        <v>1782150</v>
      </c>
      <c r="H100" s="5">
        <v>315133</v>
      </c>
      <c r="I100" s="6">
        <f t="shared" si="4"/>
        <v>2097283</v>
      </c>
    </row>
    <row r="101" spans="1:9" ht="15">
      <c r="A101" s="17">
        <v>24</v>
      </c>
      <c r="B101" s="15">
        <v>12</v>
      </c>
      <c r="C101" s="95" t="s">
        <v>31</v>
      </c>
      <c r="D101" s="5">
        <v>1604500</v>
      </c>
      <c r="E101" s="18">
        <v>320000</v>
      </c>
      <c r="F101" s="6">
        <f t="shared" si="3"/>
        <v>1924500</v>
      </c>
      <c r="G101" s="5"/>
      <c r="H101" s="18"/>
      <c r="I101" s="6">
        <f t="shared" si="4"/>
        <v>0</v>
      </c>
    </row>
    <row r="102" spans="1:9" ht="15">
      <c r="A102" s="17">
        <v>25</v>
      </c>
      <c r="B102" s="15">
        <v>13</v>
      </c>
      <c r="C102" s="95" t="s">
        <v>32</v>
      </c>
      <c r="D102" s="5"/>
      <c r="E102" s="5"/>
      <c r="F102" s="6">
        <f t="shared" si="3"/>
        <v>0</v>
      </c>
      <c r="G102" s="5"/>
      <c r="H102" s="5"/>
      <c r="I102" s="6">
        <f t="shared" si="4"/>
        <v>0</v>
      </c>
    </row>
    <row r="103" spans="1:9" ht="15">
      <c r="A103" s="17">
        <v>26</v>
      </c>
      <c r="B103" s="15">
        <v>14</v>
      </c>
      <c r="C103" s="95" t="s">
        <v>423</v>
      </c>
      <c r="D103" s="5"/>
      <c r="E103" s="5"/>
      <c r="F103" s="6">
        <f t="shared" si="3"/>
        <v>0</v>
      </c>
      <c r="G103" s="5"/>
      <c r="H103" s="5"/>
      <c r="I103" s="6">
        <f t="shared" si="4"/>
        <v>0</v>
      </c>
    </row>
    <row r="104" spans="1:9" ht="15">
      <c r="A104" s="17">
        <v>27</v>
      </c>
      <c r="B104" s="15">
        <v>15</v>
      </c>
      <c r="C104" s="95" t="s">
        <v>230</v>
      </c>
      <c r="D104" s="5">
        <v>873500</v>
      </c>
      <c r="E104" s="5">
        <v>1485100</v>
      </c>
      <c r="F104" s="6">
        <f t="shared" si="3"/>
        <v>2358600</v>
      </c>
      <c r="G104" s="5">
        <v>873500</v>
      </c>
      <c r="H104" s="5">
        <v>1535100</v>
      </c>
      <c r="I104" s="6">
        <f t="shared" si="4"/>
        <v>2408600</v>
      </c>
    </row>
    <row r="105" spans="1:9" ht="15">
      <c r="A105" s="17">
        <v>28</v>
      </c>
      <c r="B105" s="15">
        <v>16</v>
      </c>
      <c r="C105" s="95" t="s">
        <v>252</v>
      </c>
      <c r="D105" s="5">
        <v>1303418</v>
      </c>
      <c r="E105" s="5">
        <v>25000</v>
      </c>
      <c r="F105" s="6">
        <f t="shared" si="3"/>
        <v>1328418</v>
      </c>
      <c r="G105" s="5">
        <v>958943</v>
      </c>
      <c r="H105" s="5">
        <v>27000</v>
      </c>
      <c r="I105" s="6">
        <f t="shared" si="4"/>
        <v>985943</v>
      </c>
    </row>
    <row r="106" spans="1:9" ht="15">
      <c r="A106" s="17">
        <v>29</v>
      </c>
      <c r="B106" s="15">
        <v>17</v>
      </c>
      <c r="C106" s="95" t="s">
        <v>313</v>
      </c>
      <c r="D106" s="5"/>
      <c r="E106" s="5"/>
      <c r="F106" s="6">
        <f t="shared" si="3"/>
        <v>0</v>
      </c>
      <c r="G106" s="5"/>
      <c r="H106" s="5"/>
      <c r="I106" s="6">
        <f t="shared" si="4"/>
        <v>0</v>
      </c>
    </row>
    <row r="107" spans="1:9" ht="15">
      <c r="A107" s="17">
        <v>30</v>
      </c>
      <c r="B107" s="15">
        <v>18</v>
      </c>
      <c r="C107" s="96" t="s">
        <v>240</v>
      </c>
      <c r="D107" s="5">
        <v>3193650</v>
      </c>
      <c r="E107" s="5"/>
      <c r="F107" s="6">
        <f t="shared" si="3"/>
        <v>3193650</v>
      </c>
      <c r="G107" s="5">
        <v>3176450</v>
      </c>
      <c r="H107" s="5"/>
      <c r="I107" s="6">
        <f t="shared" si="4"/>
        <v>3176450</v>
      </c>
    </row>
    <row r="108" spans="1:9" ht="15">
      <c r="A108" s="17">
        <v>31</v>
      </c>
      <c r="B108" s="15">
        <v>19</v>
      </c>
      <c r="C108" s="96" t="s">
        <v>243</v>
      </c>
      <c r="D108" s="5">
        <v>485803</v>
      </c>
      <c r="E108" s="5">
        <v>767450</v>
      </c>
      <c r="F108" s="6">
        <f t="shared" si="3"/>
        <v>1253253</v>
      </c>
      <c r="G108" s="5">
        <v>690378</v>
      </c>
      <c r="H108" s="5">
        <v>662450</v>
      </c>
      <c r="I108" s="6">
        <f t="shared" si="4"/>
        <v>1352828</v>
      </c>
    </row>
    <row r="109" spans="1:9" ht="15">
      <c r="A109" s="17">
        <v>32</v>
      </c>
      <c r="B109" s="15">
        <v>20</v>
      </c>
      <c r="C109" s="96" t="s">
        <v>311</v>
      </c>
      <c r="D109" s="5">
        <v>756208</v>
      </c>
      <c r="E109" s="5">
        <v>133000</v>
      </c>
      <c r="F109" s="6">
        <f t="shared" si="3"/>
        <v>889208</v>
      </c>
      <c r="G109" s="5">
        <v>877908</v>
      </c>
      <c r="H109" s="5">
        <v>133000</v>
      </c>
      <c r="I109" s="6">
        <f t="shared" si="4"/>
        <v>1010908</v>
      </c>
    </row>
    <row r="110" spans="1:9" ht="15">
      <c r="A110" s="17">
        <v>33</v>
      </c>
      <c r="B110" s="15">
        <v>21</v>
      </c>
      <c r="C110" s="96" t="s">
        <v>315</v>
      </c>
      <c r="D110" s="5">
        <v>743500</v>
      </c>
      <c r="E110" s="5"/>
      <c r="F110" s="6">
        <f t="shared" si="3"/>
        <v>743500</v>
      </c>
      <c r="G110" s="5">
        <v>743500</v>
      </c>
      <c r="H110" s="5"/>
      <c r="I110" s="6">
        <f t="shared" si="4"/>
        <v>743500</v>
      </c>
    </row>
    <row r="111" spans="1:9" ht="15">
      <c r="A111" s="224" t="s">
        <v>5</v>
      </c>
      <c r="B111" s="225"/>
      <c r="C111" s="225"/>
      <c r="D111" s="7">
        <f>SUM(D90:D110)</f>
        <v>32342733</v>
      </c>
      <c r="E111" s="7">
        <f>SUM(E90:E110)</f>
        <v>13370383</v>
      </c>
      <c r="F111" s="7">
        <f>SUM(D111:E111)</f>
        <v>45713116</v>
      </c>
      <c r="G111" s="7">
        <f>SUM(G90:G110)</f>
        <v>33931356</v>
      </c>
      <c r="H111" s="7">
        <f>SUM(H90:H110)</f>
        <v>13831283</v>
      </c>
      <c r="I111" s="7">
        <f t="shared" si="4"/>
        <v>47762639</v>
      </c>
    </row>
    <row r="112" spans="1:9" ht="15">
      <c r="A112" s="224" t="s">
        <v>47</v>
      </c>
      <c r="B112" s="225"/>
      <c r="C112" s="225"/>
      <c r="D112" s="225"/>
      <c r="E112" s="225"/>
      <c r="F112" s="225"/>
      <c r="G112" s="225"/>
      <c r="H112" s="225"/>
      <c r="I112" s="226"/>
    </row>
    <row r="113" spans="1:9" ht="15">
      <c r="A113" s="15">
        <v>34</v>
      </c>
      <c r="B113" s="15">
        <v>1</v>
      </c>
      <c r="C113" s="15" t="s">
        <v>48</v>
      </c>
      <c r="D113" s="5">
        <v>1000000</v>
      </c>
      <c r="E113" s="5">
        <v>200000</v>
      </c>
      <c r="F113" s="6">
        <f>SUM(D113:E113)</f>
        <v>1200000</v>
      </c>
      <c r="G113" s="5">
        <v>1000000</v>
      </c>
      <c r="H113" s="5">
        <v>200000</v>
      </c>
      <c r="I113" s="6">
        <f>SUM(G113:H113)</f>
        <v>1200000</v>
      </c>
    </row>
    <row r="114" spans="1:9" ht="15">
      <c r="A114" s="224" t="s">
        <v>42</v>
      </c>
      <c r="B114" s="225"/>
      <c r="C114" s="225"/>
      <c r="D114" s="7">
        <f>D113</f>
        <v>1000000</v>
      </c>
      <c r="E114" s="7">
        <f>E113</f>
        <v>200000</v>
      </c>
      <c r="F114" s="7">
        <f>SUM(D114:E114)</f>
        <v>1200000</v>
      </c>
      <c r="G114" s="7">
        <f>G113</f>
        <v>1000000</v>
      </c>
      <c r="H114" s="7">
        <f>H113</f>
        <v>200000</v>
      </c>
      <c r="I114" s="7">
        <f>SUM(G114:H114)</f>
        <v>1200000</v>
      </c>
    </row>
    <row r="115" spans="1:9" ht="15">
      <c r="A115" s="224" t="s">
        <v>49</v>
      </c>
      <c r="B115" s="225"/>
      <c r="C115" s="225"/>
      <c r="D115" s="225"/>
      <c r="E115" s="225"/>
      <c r="F115" s="225"/>
      <c r="G115" s="225"/>
      <c r="H115" s="225"/>
      <c r="I115" s="226"/>
    </row>
    <row r="116" spans="1:9" ht="15">
      <c r="A116" s="15">
        <v>35</v>
      </c>
      <c r="B116" s="15">
        <v>1</v>
      </c>
      <c r="C116" s="19" t="s">
        <v>50</v>
      </c>
      <c r="D116" s="5">
        <v>1650452</v>
      </c>
      <c r="E116" s="5">
        <v>490000</v>
      </c>
      <c r="F116" s="6">
        <f>SUM(D116:E116)</f>
        <v>2140452</v>
      </c>
      <c r="G116" s="5">
        <v>1653405</v>
      </c>
      <c r="H116" s="5">
        <v>465000</v>
      </c>
      <c r="I116" s="6">
        <f>SUM(G116:H116)</f>
        <v>2118405</v>
      </c>
    </row>
    <row r="117" spans="1:9" ht="15">
      <c r="A117" s="224" t="s">
        <v>42</v>
      </c>
      <c r="B117" s="225"/>
      <c r="C117" s="225"/>
      <c r="D117" s="7">
        <f>D116</f>
        <v>1650452</v>
      </c>
      <c r="E117" s="7">
        <f>E116</f>
        <v>490000</v>
      </c>
      <c r="F117" s="7">
        <f>SUM(D117:E117)</f>
        <v>2140452</v>
      </c>
      <c r="G117" s="7">
        <f>G116</f>
        <v>1653405</v>
      </c>
      <c r="H117" s="7">
        <f>H116</f>
        <v>465000</v>
      </c>
      <c r="I117" s="7">
        <f>SUM(G117:H117)</f>
        <v>2118405</v>
      </c>
    </row>
    <row r="118" spans="1:9" ht="15">
      <c r="A118" s="224" t="s">
        <v>51</v>
      </c>
      <c r="B118" s="225"/>
      <c r="C118" s="225"/>
      <c r="D118" s="225"/>
      <c r="E118" s="225"/>
      <c r="F118" s="225"/>
      <c r="G118" s="225"/>
      <c r="H118" s="225"/>
      <c r="I118" s="226"/>
    </row>
    <row r="119" spans="1:9" ht="15">
      <c r="A119" s="15">
        <v>36</v>
      </c>
      <c r="B119" s="15">
        <v>1</v>
      </c>
      <c r="C119" s="19" t="s">
        <v>52</v>
      </c>
      <c r="D119" s="5">
        <v>1445000</v>
      </c>
      <c r="E119" s="5">
        <v>649500</v>
      </c>
      <c r="F119" s="6">
        <f>SUM(D119:E119)</f>
        <v>2094500</v>
      </c>
      <c r="G119" s="5">
        <v>1326000</v>
      </c>
      <c r="H119" s="5">
        <v>649500</v>
      </c>
      <c r="I119" s="6">
        <f>SUM(G119:H119)</f>
        <v>1975500</v>
      </c>
    </row>
    <row r="120" spans="1:9" ht="15">
      <c r="A120" s="15">
        <v>37</v>
      </c>
      <c r="B120" s="15">
        <v>2</v>
      </c>
      <c r="C120" s="19" t="s">
        <v>53</v>
      </c>
      <c r="D120" s="5">
        <v>244000</v>
      </c>
      <c r="E120" s="5">
        <v>540000</v>
      </c>
      <c r="F120" s="6">
        <f aca="true" t="shared" si="5" ref="F120:F138">SUM(D120:E120)</f>
        <v>784000</v>
      </c>
      <c r="G120" s="5">
        <v>244000</v>
      </c>
      <c r="H120" s="5">
        <v>540000</v>
      </c>
      <c r="I120" s="6">
        <f aca="true" t="shared" si="6" ref="I120:I128">SUM(G120:H120)</f>
        <v>784000</v>
      </c>
    </row>
    <row r="121" spans="1:9" ht="15">
      <c r="A121" s="15">
        <v>38</v>
      </c>
      <c r="B121" s="15">
        <v>3</v>
      </c>
      <c r="C121" s="20" t="s">
        <v>54</v>
      </c>
      <c r="D121" s="5"/>
      <c r="E121" s="5"/>
      <c r="F121" s="6">
        <f t="shared" si="5"/>
        <v>0</v>
      </c>
      <c r="G121" s="5"/>
      <c r="H121" s="5"/>
      <c r="I121" s="6">
        <f t="shared" si="6"/>
        <v>0</v>
      </c>
    </row>
    <row r="122" spans="1:9" ht="15">
      <c r="A122" s="15">
        <v>39</v>
      </c>
      <c r="B122" s="21">
        <v>4</v>
      </c>
      <c r="C122" s="20" t="s">
        <v>55</v>
      </c>
      <c r="D122" s="5">
        <v>573500</v>
      </c>
      <c r="E122" s="5">
        <f>400000+495000</f>
        <v>895000</v>
      </c>
      <c r="F122" s="6">
        <f t="shared" si="5"/>
        <v>1468500</v>
      </c>
      <c r="G122" s="5"/>
      <c r="H122" s="5"/>
      <c r="I122" s="6">
        <f t="shared" si="6"/>
        <v>0</v>
      </c>
    </row>
    <row r="123" spans="1:9" ht="15">
      <c r="A123" s="15">
        <v>40</v>
      </c>
      <c r="B123" s="15">
        <v>5</v>
      </c>
      <c r="C123" s="20" t="s">
        <v>56</v>
      </c>
      <c r="D123" s="5"/>
      <c r="E123" s="5"/>
      <c r="F123" s="6">
        <f t="shared" si="5"/>
        <v>0</v>
      </c>
      <c r="G123" s="5"/>
      <c r="H123" s="5"/>
      <c r="I123" s="6">
        <f t="shared" si="6"/>
        <v>0</v>
      </c>
    </row>
    <row r="124" spans="1:9" ht="15">
      <c r="A124" s="15">
        <v>41</v>
      </c>
      <c r="B124" s="15">
        <v>6</v>
      </c>
      <c r="C124" s="20" t="s">
        <v>57</v>
      </c>
      <c r="D124" s="5"/>
      <c r="E124" s="5"/>
      <c r="F124" s="6">
        <f t="shared" si="5"/>
        <v>0</v>
      </c>
      <c r="G124" s="5">
        <v>956718</v>
      </c>
      <c r="H124" s="5">
        <v>100000</v>
      </c>
      <c r="I124" s="6">
        <f t="shared" si="6"/>
        <v>1056718</v>
      </c>
    </row>
    <row r="125" spans="1:9" ht="15">
      <c r="A125" s="15">
        <v>42</v>
      </c>
      <c r="B125" s="15">
        <v>7</v>
      </c>
      <c r="C125" s="20" t="s">
        <v>58</v>
      </c>
      <c r="D125" s="5">
        <v>516000</v>
      </c>
      <c r="E125" s="5">
        <v>130000</v>
      </c>
      <c r="F125" s="6">
        <f t="shared" si="5"/>
        <v>646000</v>
      </c>
      <c r="G125" s="5">
        <v>516000</v>
      </c>
      <c r="H125" s="5">
        <v>130000</v>
      </c>
      <c r="I125" s="6">
        <f t="shared" si="6"/>
        <v>646000</v>
      </c>
    </row>
    <row r="126" spans="1:9" ht="15">
      <c r="A126" s="15">
        <v>43</v>
      </c>
      <c r="B126" s="15">
        <v>8</v>
      </c>
      <c r="C126" s="19" t="s">
        <v>59</v>
      </c>
      <c r="D126" s="5">
        <v>600000</v>
      </c>
      <c r="E126" s="5">
        <v>150000</v>
      </c>
      <c r="F126" s="6">
        <f t="shared" si="5"/>
        <v>750000</v>
      </c>
      <c r="G126" s="5">
        <v>600000</v>
      </c>
      <c r="H126" s="5">
        <f>150000+295000</f>
        <v>445000</v>
      </c>
      <c r="I126" s="6">
        <f t="shared" si="6"/>
        <v>1045000</v>
      </c>
    </row>
    <row r="127" spans="1:9" ht="15">
      <c r="A127" s="15">
        <v>44</v>
      </c>
      <c r="B127" s="15">
        <v>9</v>
      </c>
      <c r="C127" s="19" t="s">
        <v>60</v>
      </c>
      <c r="D127" s="5">
        <v>397500</v>
      </c>
      <c r="E127" s="5">
        <v>230000</v>
      </c>
      <c r="F127" s="6">
        <f t="shared" si="5"/>
        <v>627500</v>
      </c>
      <c r="G127" s="5">
        <v>506300</v>
      </c>
      <c r="H127" s="5">
        <v>230000</v>
      </c>
      <c r="I127" s="6">
        <f t="shared" si="6"/>
        <v>736300</v>
      </c>
    </row>
    <row r="128" spans="1:9" ht="15">
      <c r="A128" s="15">
        <v>45</v>
      </c>
      <c r="B128" s="15">
        <v>10</v>
      </c>
      <c r="C128" s="19" t="s">
        <v>61</v>
      </c>
      <c r="D128" s="5">
        <v>260400</v>
      </c>
      <c r="E128" s="5">
        <v>100000</v>
      </c>
      <c r="F128" s="6">
        <f t="shared" si="5"/>
        <v>360400</v>
      </c>
      <c r="G128" s="5">
        <v>263400</v>
      </c>
      <c r="H128" s="5">
        <v>100000</v>
      </c>
      <c r="I128" s="6">
        <f t="shared" si="6"/>
        <v>363400</v>
      </c>
    </row>
    <row r="129" spans="1:9" ht="15">
      <c r="A129" s="15">
        <v>46</v>
      </c>
      <c r="B129" s="15">
        <v>11</v>
      </c>
      <c r="C129" s="19" t="s">
        <v>62</v>
      </c>
      <c r="D129" s="5"/>
      <c r="E129" s="108"/>
      <c r="F129" s="6">
        <f>SUM(D129:E129)</f>
        <v>0</v>
      </c>
      <c r="G129" s="5"/>
      <c r="H129" s="108"/>
      <c r="I129" s="6">
        <f>SUM(G129:H129)</f>
        <v>0</v>
      </c>
    </row>
    <row r="130" spans="1:9" ht="15">
      <c r="A130" s="15">
        <v>47</v>
      </c>
      <c r="B130" s="15">
        <v>12</v>
      </c>
      <c r="C130" s="19" t="s">
        <v>63</v>
      </c>
      <c r="D130" s="5"/>
      <c r="E130" s="5"/>
      <c r="F130" s="6">
        <f t="shared" si="5"/>
        <v>0</v>
      </c>
      <c r="G130" s="5"/>
      <c r="H130" s="5"/>
      <c r="I130" s="6">
        <f>SUM(G130:H130)</f>
        <v>0</v>
      </c>
    </row>
    <row r="131" spans="1:9" ht="15">
      <c r="A131" s="15">
        <v>48</v>
      </c>
      <c r="B131" s="15">
        <v>13</v>
      </c>
      <c r="C131" s="19" t="s">
        <v>64</v>
      </c>
      <c r="D131" s="5"/>
      <c r="E131" s="5"/>
      <c r="F131" s="6">
        <f t="shared" si="5"/>
        <v>0</v>
      </c>
      <c r="G131" s="5"/>
      <c r="H131" s="5"/>
      <c r="I131" s="6">
        <f>SUM(G131:H131)</f>
        <v>0</v>
      </c>
    </row>
    <row r="132" spans="1:9" ht="15">
      <c r="A132" s="15">
        <v>49</v>
      </c>
      <c r="B132" s="15">
        <v>14</v>
      </c>
      <c r="C132" s="19" t="s">
        <v>65</v>
      </c>
      <c r="D132" s="5">
        <f>127000+127000</f>
        <v>254000</v>
      </c>
      <c r="E132" s="5">
        <f>135000+130000</f>
        <v>265000</v>
      </c>
      <c r="F132" s="6">
        <f>SUM(D132:E132)</f>
        <v>519000</v>
      </c>
      <c r="G132" s="5">
        <v>127000</v>
      </c>
      <c r="H132" s="5">
        <v>135000</v>
      </c>
      <c r="I132" s="6">
        <f>SUM(G132:H132)</f>
        <v>262000</v>
      </c>
    </row>
    <row r="133" spans="1:9" ht="15">
      <c r="A133" s="15">
        <v>50</v>
      </c>
      <c r="B133" s="15">
        <v>15</v>
      </c>
      <c r="C133" s="78" t="s">
        <v>66</v>
      </c>
      <c r="D133" s="5"/>
      <c r="E133" s="5"/>
      <c r="F133" s="6">
        <f t="shared" si="5"/>
        <v>0</v>
      </c>
      <c r="G133" s="5">
        <v>2237868</v>
      </c>
      <c r="H133" s="5">
        <v>375000</v>
      </c>
      <c r="I133" s="6">
        <f aca="true" t="shared" si="7" ref="I133:I138">SUM(G133:H133)</f>
        <v>2612868</v>
      </c>
    </row>
    <row r="134" spans="1:9" ht="15">
      <c r="A134" s="15">
        <v>51</v>
      </c>
      <c r="B134" s="15">
        <v>16</v>
      </c>
      <c r="C134" s="19" t="s">
        <v>67</v>
      </c>
      <c r="D134" s="5">
        <v>1032000</v>
      </c>
      <c r="E134" s="5"/>
      <c r="F134" s="6">
        <f t="shared" si="5"/>
        <v>1032000</v>
      </c>
      <c r="G134" s="5">
        <v>950000</v>
      </c>
      <c r="H134" s="5"/>
      <c r="I134" s="6">
        <f t="shared" si="7"/>
        <v>950000</v>
      </c>
    </row>
    <row r="135" spans="1:9" ht="15">
      <c r="A135" s="15">
        <v>52</v>
      </c>
      <c r="B135" s="15">
        <v>17</v>
      </c>
      <c r="C135" s="19" t="s">
        <v>68</v>
      </c>
      <c r="D135" s="5">
        <v>1130000</v>
      </c>
      <c r="E135" s="5"/>
      <c r="F135" s="6">
        <f t="shared" si="5"/>
        <v>1130000</v>
      </c>
      <c r="G135" s="5"/>
      <c r="H135" s="5"/>
      <c r="I135" s="6">
        <f t="shared" si="7"/>
        <v>0</v>
      </c>
    </row>
    <row r="136" spans="1:9" ht="15">
      <c r="A136" s="15">
        <v>53</v>
      </c>
      <c r="B136" s="15">
        <v>18</v>
      </c>
      <c r="C136" s="19" t="s">
        <v>69</v>
      </c>
      <c r="D136" s="5">
        <f>615547+615547</f>
        <v>1231094</v>
      </c>
      <c r="E136" s="5">
        <f>260000+260000</f>
        <v>520000</v>
      </c>
      <c r="F136" s="6">
        <f t="shared" si="5"/>
        <v>1751094</v>
      </c>
      <c r="G136" s="5">
        <v>260000</v>
      </c>
      <c r="H136" s="5">
        <v>615547</v>
      </c>
      <c r="I136" s="6">
        <f t="shared" si="7"/>
        <v>875547</v>
      </c>
    </row>
    <row r="137" spans="1:9" ht="15">
      <c r="A137" s="15">
        <v>54</v>
      </c>
      <c r="B137" s="15">
        <v>19</v>
      </c>
      <c r="C137" s="19" t="s">
        <v>70</v>
      </c>
      <c r="D137" s="5"/>
      <c r="E137" s="5"/>
      <c r="F137" s="6">
        <f t="shared" si="5"/>
        <v>0</v>
      </c>
      <c r="G137" s="5"/>
      <c r="H137" s="5"/>
      <c r="I137" s="6">
        <f t="shared" si="7"/>
        <v>0</v>
      </c>
    </row>
    <row r="138" spans="1:9" ht="15">
      <c r="A138" s="15">
        <v>55</v>
      </c>
      <c r="B138" s="15">
        <v>20</v>
      </c>
      <c r="C138" s="19" t="s">
        <v>71</v>
      </c>
      <c r="D138" s="5"/>
      <c r="E138" s="5"/>
      <c r="F138" s="6">
        <f t="shared" si="5"/>
        <v>0</v>
      </c>
      <c r="G138" s="5">
        <v>393470</v>
      </c>
      <c r="H138" s="5"/>
      <c r="I138" s="6">
        <f t="shared" si="7"/>
        <v>393470</v>
      </c>
    </row>
    <row r="139" spans="1:13" ht="15">
      <c r="A139" s="224" t="s">
        <v>5</v>
      </c>
      <c r="B139" s="225"/>
      <c r="C139" s="225"/>
      <c r="D139" s="7">
        <f>SUM(D119:D138)</f>
        <v>7683494</v>
      </c>
      <c r="E139" s="7">
        <f>SUM(E119:E138)</f>
        <v>3479500</v>
      </c>
      <c r="F139" s="7">
        <f>SUM(D139:E139)</f>
        <v>11162994</v>
      </c>
      <c r="G139" s="7">
        <f>SUM(G119:G138)</f>
        <v>8380756</v>
      </c>
      <c r="H139" s="7">
        <f>SUM(H119:H138)</f>
        <v>3320047</v>
      </c>
      <c r="I139" s="7">
        <f>SUM(G139:H139)</f>
        <v>11700803</v>
      </c>
      <c r="M139" t="s">
        <v>348</v>
      </c>
    </row>
    <row r="140" spans="1:9" ht="15">
      <c r="A140" s="234" t="s">
        <v>72</v>
      </c>
      <c r="B140" s="235"/>
      <c r="C140" s="235"/>
      <c r="D140" s="235"/>
      <c r="E140" s="235"/>
      <c r="F140" s="235"/>
      <c r="G140" s="235"/>
      <c r="H140" s="235"/>
      <c r="I140" s="236"/>
    </row>
    <row r="141" spans="1:9" ht="15">
      <c r="A141" s="15">
        <v>56</v>
      </c>
      <c r="B141" s="15">
        <v>1</v>
      </c>
      <c r="C141" s="20" t="s">
        <v>73</v>
      </c>
      <c r="D141" s="5">
        <v>1350440</v>
      </c>
      <c r="E141" s="5">
        <v>840000</v>
      </c>
      <c r="F141" s="6">
        <f>SUM(D141:E141)</f>
        <v>2190440</v>
      </c>
      <c r="G141" s="5">
        <v>1350440</v>
      </c>
      <c r="H141" s="5">
        <v>810000</v>
      </c>
      <c r="I141" s="6">
        <f>SUM(G141:H141)</f>
        <v>2160440</v>
      </c>
    </row>
    <row r="142" spans="1:9" ht="15">
      <c r="A142" s="15">
        <v>57</v>
      </c>
      <c r="B142" s="15">
        <v>2</v>
      </c>
      <c r="C142" s="20" t="s">
        <v>74</v>
      </c>
      <c r="D142" s="5">
        <v>343500</v>
      </c>
      <c r="E142" s="5">
        <v>158000</v>
      </c>
      <c r="F142" s="6">
        <f>SUM(D142:E142)</f>
        <v>501500</v>
      </c>
      <c r="G142" s="5">
        <v>342500</v>
      </c>
      <c r="H142" s="5">
        <v>157000</v>
      </c>
      <c r="I142" s="6">
        <f>SUM(G142:H142)</f>
        <v>499500</v>
      </c>
    </row>
    <row r="143" spans="1:9" ht="15">
      <c r="A143" s="15">
        <v>58</v>
      </c>
      <c r="B143" s="15">
        <v>3</v>
      </c>
      <c r="C143" s="20" t="s">
        <v>75</v>
      </c>
      <c r="D143" s="5"/>
      <c r="E143" s="5"/>
      <c r="F143" s="6">
        <f aca="true" t="shared" si="8" ref="F143:F160">SUM(D143:E143)</f>
        <v>0</v>
      </c>
      <c r="G143" s="5">
        <f>1005200*2</f>
        <v>2010400</v>
      </c>
      <c r="H143" s="5">
        <f>1133000*2</f>
        <v>2266000</v>
      </c>
      <c r="I143" s="6">
        <f aca="true" t="shared" si="9" ref="I143:I160">SUM(G143:H143)</f>
        <v>4276400</v>
      </c>
    </row>
    <row r="144" spans="1:9" ht="15">
      <c r="A144" s="15">
        <v>59</v>
      </c>
      <c r="B144" s="15">
        <v>4</v>
      </c>
      <c r="C144" s="20" t="s">
        <v>76</v>
      </c>
      <c r="D144" s="5"/>
      <c r="E144" s="5">
        <v>300000</v>
      </c>
      <c r="F144" s="6">
        <f t="shared" si="8"/>
        <v>300000</v>
      </c>
      <c r="G144" s="5"/>
      <c r="H144" s="5"/>
      <c r="I144" s="6">
        <f t="shared" si="9"/>
        <v>0</v>
      </c>
    </row>
    <row r="145" spans="1:9" ht="15">
      <c r="A145" s="15">
        <v>60</v>
      </c>
      <c r="B145" s="15">
        <v>5</v>
      </c>
      <c r="C145" s="22" t="s">
        <v>77</v>
      </c>
      <c r="D145" s="5"/>
      <c r="E145" s="5"/>
      <c r="F145" s="6">
        <f t="shared" si="8"/>
        <v>0</v>
      </c>
      <c r="G145" s="5"/>
      <c r="H145" s="5"/>
      <c r="I145" s="6">
        <f t="shared" si="9"/>
        <v>0</v>
      </c>
    </row>
    <row r="146" spans="1:9" ht="15">
      <c r="A146" s="15">
        <v>61</v>
      </c>
      <c r="B146" s="15">
        <v>6</v>
      </c>
      <c r="C146" s="20" t="s">
        <v>78</v>
      </c>
      <c r="D146" s="5">
        <v>1044000</v>
      </c>
      <c r="E146" s="5">
        <v>1254500</v>
      </c>
      <c r="F146" s="6">
        <f t="shared" si="8"/>
        <v>2298500</v>
      </c>
      <c r="G146" s="5">
        <v>1044000</v>
      </c>
      <c r="H146" s="5">
        <v>1254500</v>
      </c>
      <c r="I146" s="6">
        <f t="shared" si="9"/>
        <v>2298500</v>
      </c>
    </row>
    <row r="147" spans="1:9" ht="15">
      <c r="A147" s="15">
        <v>62</v>
      </c>
      <c r="B147" s="15">
        <v>7</v>
      </c>
      <c r="C147" s="20" t="s">
        <v>79</v>
      </c>
      <c r="D147" s="5">
        <v>330000</v>
      </c>
      <c r="E147" s="5">
        <v>400000</v>
      </c>
      <c r="F147" s="6">
        <f t="shared" si="8"/>
        <v>730000</v>
      </c>
      <c r="G147" s="5">
        <v>330000</v>
      </c>
      <c r="H147" s="5">
        <v>400000</v>
      </c>
      <c r="I147" s="6">
        <f t="shared" si="9"/>
        <v>730000</v>
      </c>
    </row>
    <row r="148" spans="1:9" ht="15">
      <c r="A148" s="15">
        <v>63</v>
      </c>
      <c r="B148" s="15">
        <v>8</v>
      </c>
      <c r="C148" s="20" t="s">
        <v>80</v>
      </c>
      <c r="D148" s="5">
        <v>994000</v>
      </c>
      <c r="E148" s="5">
        <v>480700</v>
      </c>
      <c r="F148" s="6">
        <f t="shared" si="8"/>
        <v>1474700</v>
      </c>
      <c r="G148" s="5">
        <v>994000</v>
      </c>
      <c r="H148" s="5">
        <v>480700</v>
      </c>
      <c r="I148" s="6">
        <f t="shared" si="9"/>
        <v>1474700</v>
      </c>
    </row>
    <row r="149" spans="1:9" ht="15">
      <c r="A149" s="15">
        <v>64</v>
      </c>
      <c r="B149" s="15">
        <v>9</v>
      </c>
      <c r="C149" s="20" t="s">
        <v>81</v>
      </c>
      <c r="D149" s="5">
        <v>318000</v>
      </c>
      <c r="E149" s="5">
        <v>472000</v>
      </c>
      <c r="F149" s="6">
        <f t="shared" si="8"/>
        <v>790000</v>
      </c>
      <c r="G149" s="5">
        <v>369000</v>
      </c>
      <c r="H149" s="5">
        <v>369000</v>
      </c>
      <c r="I149" s="6">
        <f t="shared" si="9"/>
        <v>738000</v>
      </c>
    </row>
    <row r="150" spans="1:9" ht="15">
      <c r="A150" s="15">
        <v>65</v>
      </c>
      <c r="B150" s="15">
        <v>10</v>
      </c>
      <c r="C150" s="20" t="s">
        <v>82</v>
      </c>
      <c r="D150" s="5">
        <v>357100</v>
      </c>
      <c r="E150" s="5">
        <v>72000</v>
      </c>
      <c r="F150" s="6">
        <f t="shared" si="8"/>
        <v>429100</v>
      </c>
      <c r="G150" s="5">
        <v>357100</v>
      </c>
      <c r="H150" s="5">
        <v>72000</v>
      </c>
      <c r="I150" s="6">
        <f t="shared" si="9"/>
        <v>429100</v>
      </c>
    </row>
    <row r="151" spans="1:9" ht="15">
      <c r="A151" s="15">
        <v>66</v>
      </c>
      <c r="B151" s="15">
        <v>11</v>
      </c>
      <c r="C151" s="20" t="s">
        <v>83</v>
      </c>
      <c r="D151" s="5"/>
      <c r="E151" s="5">
        <v>600000</v>
      </c>
      <c r="F151" s="6">
        <f t="shared" si="8"/>
        <v>600000</v>
      </c>
      <c r="G151" s="5"/>
      <c r="H151" s="5"/>
      <c r="I151" s="6">
        <f t="shared" si="9"/>
        <v>0</v>
      </c>
    </row>
    <row r="152" spans="1:9" ht="15">
      <c r="A152" s="15">
        <v>67</v>
      </c>
      <c r="B152" s="15">
        <v>12</v>
      </c>
      <c r="C152" s="20" t="s">
        <v>84</v>
      </c>
      <c r="D152" s="5">
        <v>416700</v>
      </c>
      <c r="E152" s="5">
        <v>1087300</v>
      </c>
      <c r="F152" s="6">
        <f t="shared" si="8"/>
        <v>1504000</v>
      </c>
      <c r="G152" s="5">
        <v>210000</v>
      </c>
      <c r="H152" s="5">
        <v>827000</v>
      </c>
      <c r="I152" s="6">
        <f t="shared" si="9"/>
        <v>1037000</v>
      </c>
    </row>
    <row r="153" spans="1:9" ht="15">
      <c r="A153" s="15">
        <v>68</v>
      </c>
      <c r="B153" s="15">
        <v>13</v>
      </c>
      <c r="C153" s="20" t="s">
        <v>85</v>
      </c>
      <c r="D153" s="18"/>
      <c r="E153" s="18">
        <v>500000</v>
      </c>
      <c r="F153" s="6">
        <f t="shared" si="8"/>
        <v>500000</v>
      </c>
      <c r="G153" s="18"/>
      <c r="H153" s="18">
        <v>500000</v>
      </c>
      <c r="I153" s="6">
        <f t="shared" si="9"/>
        <v>500000</v>
      </c>
    </row>
    <row r="154" spans="1:9" ht="15">
      <c r="A154" s="15">
        <v>69</v>
      </c>
      <c r="B154" s="15">
        <v>14</v>
      </c>
      <c r="C154" s="22" t="s">
        <v>86</v>
      </c>
      <c r="D154" s="5"/>
      <c r="E154" s="5"/>
      <c r="F154" s="6">
        <f t="shared" si="8"/>
        <v>0</v>
      </c>
      <c r="G154" s="5"/>
      <c r="H154" s="5"/>
      <c r="I154" s="6">
        <f t="shared" si="9"/>
        <v>0</v>
      </c>
    </row>
    <row r="155" spans="1:9" ht="15">
      <c r="A155" s="15">
        <v>70</v>
      </c>
      <c r="B155" s="15">
        <v>15</v>
      </c>
      <c r="C155" s="20" t="s">
        <v>87</v>
      </c>
      <c r="D155" s="5"/>
      <c r="E155" s="5"/>
      <c r="F155" s="6">
        <f t="shared" si="8"/>
        <v>0</v>
      </c>
      <c r="G155" s="5"/>
      <c r="H155" s="5">
        <v>951000</v>
      </c>
      <c r="I155" s="6">
        <f t="shared" si="9"/>
        <v>951000</v>
      </c>
    </row>
    <row r="156" spans="1:9" ht="15">
      <c r="A156" s="15">
        <v>71</v>
      </c>
      <c r="B156" s="15">
        <v>16</v>
      </c>
      <c r="C156" s="20" t="s">
        <v>88</v>
      </c>
      <c r="D156" s="5"/>
      <c r="E156" s="5"/>
      <c r="F156" s="6">
        <f t="shared" si="8"/>
        <v>0</v>
      </c>
      <c r="G156" s="5"/>
      <c r="H156" s="5"/>
      <c r="I156" s="6">
        <f t="shared" si="9"/>
        <v>0</v>
      </c>
    </row>
    <row r="157" spans="1:9" ht="15">
      <c r="A157" s="15">
        <v>72</v>
      </c>
      <c r="B157" s="15">
        <v>17</v>
      </c>
      <c r="C157" s="20" t="s">
        <v>89</v>
      </c>
      <c r="D157" s="5"/>
      <c r="E157" s="5">
        <v>723000</v>
      </c>
      <c r="F157" s="6">
        <f t="shared" si="8"/>
        <v>723000</v>
      </c>
      <c r="G157" s="5"/>
      <c r="H157" s="5"/>
      <c r="I157" s="6">
        <f t="shared" si="9"/>
        <v>0</v>
      </c>
    </row>
    <row r="158" spans="1:9" ht="15">
      <c r="A158" s="15">
        <v>73</v>
      </c>
      <c r="B158" s="15">
        <v>18</v>
      </c>
      <c r="C158" s="19" t="s">
        <v>90</v>
      </c>
      <c r="D158" s="5"/>
      <c r="E158" s="5">
        <v>1037234</v>
      </c>
      <c r="F158" s="6">
        <f t="shared" si="8"/>
        <v>1037234</v>
      </c>
      <c r="G158" s="5"/>
      <c r="H158" s="5"/>
      <c r="I158" s="6">
        <f t="shared" si="9"/>
        <v>0</v>
      </c>
    </row>
    <row r="159" spans="1:9" ht="15">
      <c r="A159" s="15">
        <v>74</v>
      </c>
      <c r="B159" s="15">
        <v>19</v>
      </c>
      <c r="C159" s="19" t="s">
        <v>91</v>
      </c>
      <c r="D159" s="5">
        <v>844600</v>
      </c>
      <c r="E159" s="5">
        <v>125000</v>
      </c>
      <c r="F159" s="6">
        <f t="shared" si="8"/>
        <v>969600</v>
      </c>
      <c r="G159" s="5">
        <v>842600</v>
      </c>
      <c r="H159" s="5">
        <v>125000</v>
      </c>
      <c r="I159" s="6">
        <f t="shared" si="9"/>
        <v>967600</v>
      </c>
    </row>
    <row r="160" spans="1:9" ht="15">
      <c r="A160" s="15">
        <v>75</v>
      </c>
      <c r="B160" s="15">
        <v>20</v>
      </c>
      <c r="C160" s="19" t="s">
        <v>92</v>
      </c>
      <c r="D160" s="5">
        <v>309000</v>
      </c>
      <c r="E160" s="5">
        <v>624000</v>
      </c>
      <c r="F160" s="6">
        <f t="shared" si="8"/>
        <v>933000</v>
      </c>
      <c r="G160" s="5">
        <v>341500</v>
      </c>
      <c r="H160" s="5">
        <v>578500</v>
      </c>
      <c r="I160" s="6">
        <f t="shared" si="9"/>
        <v>920000</v>
      </c>
    </row>
    <row r="161" spans="1:9" ht="15">
      <c r="A161" s="224" t="s">
        <v>5</v>
      </c>
      <c r="B161" s="225"/>
      <c r="C161" s="225"/>
      <c r="D161" s="7">
        <f>SUM(D141:D160)</f>
        <v>6307340</v>
      </c>
      <c r="E161" s="7">
        <f>SUM(E141:E160)</f>
        <v>8673734</v>
      </c>
      <c r="F161" s="7">
        <f>SUM(D161:E161)</f>
        <v>14981074</v>
      </c>
      <c r="G161" s="7">
        <f>SUM(G141:G160)</f>
        <v>8191540</v>
      </c>
      <c r="H161" s="7">
        <f>SUM(H141:H160)</f>
        <v>8790700</v>
      </c>
      <c r="I161" s="7">
        <f>SUM(G161:H161)</f>
        <v>16982240</v>
      </c>
    </row>
    <row r="162" spans="1:9" ht="15">
      <c r="A162" s="224" t="s">
        <v>93</v>
      </c>
      <c r="B162" s="225"/>
      <c r="C162" s="225"/>
      <c r="D162" s="225"/>
      <c r="E162" s="225"/>
      <c r="F162" s="225"/>
      <c r="G162" s="225"/>
      <c r="H162" s="225"/>
      <c r="I162" s="226"/>
    </row>
    <row r="163" spans="1:9" ht="15">
      <c r="A163" s="15">
        <v>76</v>
      </c>
      <c r="B163" s="15">
        <v>1</v>
      </c>
      <c r="C163" s="19" t="s">
        <v>94</v>
      </c>
      <c r="D163" s="5">
        <v>893543</v>
      </c>
      <c r="E163" s="5">
        <v>96000</v>
      </c>
      <c r="F163" s="6">
        <f>SUM(D163:E163)</f>
        <v>989543</v>
      </c>
      <c r="G163" s="5">
        <v>893543</v>
      </c>
      <c r="H163" s="5">
        <v>97500</v>
      </c>
      <c r="I163" s="6">
        <f>SUM(G163:H163)</f>
        <v>991043</v>
      </c>
    </row>
    <row r="164" spans="1:9" ht="15">
      <c r="A164" s="15">
        <v>77</v>
      </c>
      <c r="B164" s="15">
        <v>2</v>
      </c>
      <c r="C164" s="19" t="s">
        <v>95</v>
      </c>
      <c r="D164" s="5"/>
      <c r="E164" s="5"/>
      <c r="F164" s="6">
        <f aca="true" t="shared" si="10" ref="F164:F185">SUM(D164:E164)</f>
        <v>0</v>
      </c>
      <c r="G164" s="5"/>
      <c r="H164" s="5">
        <v>40000</v>
      </c>
      <c r="I164" s="6">
        <f aca="true" t="shared" si="11" ref="I164:I182">SUM(G164:H164)</f>
        <v>40000</v>
      </c>
    </row>
    <row r="165" spans="1:9" ht="15">
      <c r="A165" s="15">
        <v>78</v>
      </c>
      <c r="B165" s="15">
        <v>3</v>
      </c>
      <c r="C165" s="19" t="s">
        <v>96</v>
      </c>
      <c r="D165" s="5"/>
      <c r="E165" s="5">
        <f>240000+40000+75000</f>
        <v>355000</v>
      </c>
      <c r="F165" s="6">
        <f t="shared" si="10"/>
        <v>355000</v>
      </c>
      <c r="G165" s="5">
        <f>55000+355000</f>
        <v>410000</v>
      </c>
      <c r="H165" s="5">
        <f>450000+40000+240000+75000+280000</f>
        <v>1085000</v>
      </c>
      <c r="I165" s="6">
        <f t="shared" si="11"/>
        <v>1495000</v>
      </c>
    </row>
    <row r="166" spans="1:9" ht="15">
      <c r="A166" s="15">
        <v>79</v>
      </c>
      <c r="B166" s="15">
        <v>4</v>
      </c>
      <c r="C166" s="19" t="s">
        <v>97</v>
      </c>
      <c r="D166" s="5">
        <v>930000</v>
      </c>
      <c r="E166" s="5"/>
      <c r="F166" s="6">
        <f t="shared" si="10"/>
        <v>930000</v>
      </c>
      <c r="G166" s="5"/>
      <c r="H166" s="5"/>
      <c r="I166" s="6">
        <f t="shared" si="11"/>
        <v>0</v>
      </c>
    </row>
    <row r="167" spans="1:9" ht="15">
      <c r="A167" s="15">
        <v>80</v>
      </c>
      <c r="B167" s="15">
        <v>5</v>
      </c>
      <c r="C167" s="19" t="s">
        <v>98</v>
      </c>
      <c r="D167" s="5"/>
      <c r="E167" s="5"/>
      <c r="F167" s="6">
        <f t="shared" si="10"/>
        <v>0</v>
      </c>
      <c r="G167" s="5"/>
      <c r="H167" s="5"/>
      <c r="I167" s="6">
        <f t="shared" si="11"/>
        <v>0</v>
      </c>
    </row>
    <row r="168" spans="1:9" ht="15">
      <c r="A168" s="15">
        <v>81</v>
      </c>
      <c r="B168" s="15">
        <v>6</v>
      </c>
      <c r="C168" s="20" t="s">
        <v>99</v>
      </c>
      <c r="D168" s="5">
        <v>20000000</v>
      </c>
      <c r="E168" s="5"/>
      <c r="F168" s="6">
        <f t="shared" si="10"/>
        <v>20000000</v>
      </c>
      <c r="G168" s="5"/>
      <c r="H168" s="5"/>
      <c r="I168" s="6">
        <f t="shared" si="11"/>
        <v>0</v>
      </c>
    </row>
    <row r="169" spans="1:9" ht="15">
      <c r="A169" s="15">
        <v>82</v>
      </c>
      <c r="B169" s="15">
        <v>7</v>
      </c>
      <c r="C169" s="19" t="s">
        <v>100</v>
      </c>
      <c r="D169" s="5"/>
      <c r="E169" s="5"/>
      <c r="F169" s="6">
        <f t="shared" si="10"/>
        <v>0</v>
      </c>
      <c r="G169" s="5"/>
      <c r="H169" s="5"/>
      <c r="I169" s="6">
        <f t="shared" si="11"/>
        <v>0</v>
      </c>
    </row>
    <row r="170" spans="1:9" ht="15">
      <c r="A170" s="15">
        <v>83</v>
      </c>
      <c r="B170" s="15">
        <v>8</v>
      </c>
      <c r="C170" s="19" t="s">
        <v>101</v>
      </c>
      <c r="D170" s="5"/>
      <c r="E170" s="5"/>
      <c r="F170" s="6">
        <f t="shared" si="10"/>
        <v>0</v>
      </c>
      <c r="G170" s="5"/>
      <c r="H170" s="5"/>
      <c r="I170" s="6">
        <f t="shared" si="11"/>
        <v>0</v>
      </c>
    </row>
    <row r="171" spans="1:9" ht="15">
      <c r="A171" s="15">
        <v>84</v>
      </c>
      <c r="B171" s="15">
        <v>9</v>
      </c>
      <c r="C171" s="19" t="s">
        <v>102</v>
      </c>
      <c r="D171" s="5"/>
      <c r="E171" s="5"/>
      <c r="F171" s="6">
        <f t="shared" si="10"/>
        <v>0</v>
      </c>
      <c r="G171" s="5"/>
      <c r="H171" s="5"/>
      <c r="I171" s="6">
        <f t="shared" si="11"/>
        <v>0</v>
      </c>
    </row>
    <row r="172" spans="1:9" ht="15">
      <c r="A172" s="15">
        <v>85</v>
      </c>
      <c r="B172" s="15">
        <v>10</v>
      </c>
      <c r="C172" s="19" t="s">
        <v>103</v>
      </c>
      <c r="D172" s="5"/>
      <c r="E172" s="5"/>
      <c r="F172" s="6">
        <f t="shared" si="10"/>
        <v>0</v>
      </c>
      <c r="G172" s="5"/>
      <c r="H172" s="5"/>
      <c r="I172" s="6">
        <f t="shared" si="11"/>
        <v>0</v>
      </c>
    </row>
    <row r="173" spans="1:9" ht="15">
      <c r="A173" s="15">
        <v>86</v>
      </c>
      <c r="B173" s="15">
        <v>11</v>
      </c>
      <c r="C173" s="19" t="s">
        <v>104</v>
      </c>
      <c r="D173" s="5">
        <v>4859126</v>
      </c>
      <c r="E173" s="5"/>
      <c r="F173" s="6">
        <f t="shared" si="10"/>
        <v>4859126</v>
      </c>
      <c r="G173" s="5">
        <v>5579281</v>
      </c>
      <c r="H173" s="5"/>
      <c r="I173" s="6">
        <f t="shared" si="11"/>
        <v>5579281</v>
      </c>
    </row>
    <row r="174" spans="1:9" ht="15">
      <c r="A174" s="15">
        <v>87</v>
      </c>
      <c r="B174" s="15">
        <v>12</v>
      </c>
      <c r="C174" s="19" t="s">
        <v>105</v>
      </c>
      <c r="D174" s="5"/>
      <c r="E174" s="5"/>
      <c r="F174" s="6">
        <f t="shared" si="10"/>
        <v>0</v>
      </c>
      <c r="G174" s="5"/>
      <c r="H174" s="5"/>
      <c r="I174" s="6">
        <f t="shared" si="11"/>
        <v>0</v>
      </c>
    </row>
    <row r="175" spans="1:9" ht="15">
      <c r="A175" s="15">
        <v>88</v>
      </c>
      <c r="B175" s="15">
        <v>13</v>
      </c>
      <c r="C175" s="19" t="s">
        <v>106</v>
      </c>
      <c r="D175" s="5"/>
      <c r="E175" s="5">
        <v>340000</v>
      </c>
      <c r="F175" s="6">
        <f t="shared" si="10"/>
        <v>340000</v>
      </c>
      <c r="G175" s="5"/>
      <c r="H175" s="5"/>
      <c r="I175" s="6">
        <f t="shared" si="11"/>
        <v>0</v>
      </c>
    </row>
    <row r="176" spans="1:9" ht="15">
      <c r="A176" s="15">
        <v>89</v>
      </c>
      <c r="B176" s="15">
        <v>14</v>
      </c>
      <c r="C176" s="19" t="s">
        <v>251</v>
      </c>
      <c r="D176" s="5"/>
      <c r="E176" s="5">
        <v>60500</v>
      </c>
      <c r="F176" s="6">
        <f t="shared" si="10"/>
        <v>60500</v>
      </c>
      <c r="G176" s="5"/>
      <c r="H176" s="5">
        <v>59000</v>
      </c>
      <c r="I176" s="6">
        <f t="shared" si="11"/>
        <v>59000</v>
      </c>
    </row>
    <row r="177" spans="1:9" ht="15">
      <c r="A177" s="15">
        <v>90</v>
      </c>
      <c r="B177" s="15">
        <v>15</v>
      </c>
      <c r="C177" s="19" t="s">
        <v>108</v>
      </c>
      <c r="D177" s="5">
        <v>477000</v>
      </c>
      <c r="E177" s="5">
        <v>450000</v>
      </c>
      <c r="F177" s="6">
        <f t="shared" si="10"/>
        <v>927000</v>
      </c>
      <c r="G177" s="5">
        <v>477000</v>
      </c>
      <c r="H177" s="5"/>
      <c r="I177" s="6">
        <f t="shared" si="11"/>
        <v>477000</v>
      </c>
    </row>
    <row r="178" spans="1:9" ht="15">
      <c r="A178" s="15">
        <v>91</v>
      </c>
      <c r="B178" s="15">
        <v>16</v>
      </c>
      <c r="C178" s="19" t="s">
        <v>109</v>
      </c>
      <c r="D178" s="5">
        <v>919100</v>
      </c>
      <c r="E178" s="5">
        <f>402000+325000</f>
        <v>727000</v>
      </c>
      <c r="F178" s="6">
        <f t="shared" si="10"/>
        <v>1646100</v>
      </c>
      <c r="G178" s="5">
        <f>919100</f>
        <v>919100</v>
      </c>
      <c r="H178" s="5">
        <f>325000+401000</f>
        <v>726000</v>
      </c>
      <c r="I178" s="6">
        <f t="shared" si="11"/>
        <v>1645100</v>
      </c>
    </row>
    <row r="179" spans="1:9" ht="15">
      <c r="A179" s="15">
        <v>92</v>
      </c>
      <c r="B179" s="15">
        <v>17</v>
      </c>
      <c r="C179" s="19" t="s">
        <v>110</v>
      </c>
      <c r="D179" s="5"/>
      <c r="E179" s="5"/>
      <c r="F179" s="6">
        <f t="shared" si="10"/>
        <v>0</v>
      </c>
      <c r="G179" s="5"/>
      <c r="H179" s="5"/>
      <c r="I179" s="6">
        <f t="shared" si="11"/>
        <v>0</v>
      </c>
    </row>
    <row r="180" spans="1:9" ht="15">
      <c r="A180" s="15">
        <v>93</v>
      </c>
      <c r="B180" s="15">
        <v>18</v>
      </c>
      <c r="C180" s="19" t="s">
        <v>111</v>
      </c>
      <c r="D180" s="5"/>
      <c r="E180" s="5"/>
      <c r="F180" s="6">
        <f t="shared" si="10"/>
        <v>0</v>
      </c>
      <c r="G180" s="5"/>
      <c r="H180" s="5"/>
      <c r="I180" s="6">
        <f t="shared" si="11"/>
        <v>0</v>
      </c>
    </row>
    <row r="181" spans="1:9" ht="15">
      <c r="A181" s="15">
        <v>94</v>
      </c>
      <c r="B181" s="15">
        <v>19</v>
      </c>
      <c r="C181" s="19" t="s">
        <v>112</v>
      </c>
      <c r="D181" s="5"/>
      <c r="E181" s="5"/>
      <c r="F181" s="6">
        <f t="shared" si="10"/>
        <v>0</v>
      </c>
      <c r="G181" s="5"/>
      <c r="H181" s="5"/>
      <c r="I181" s="6">
        <f t="shared" si="11"/>
        <v>0</v>
      </c>
    </row>
    <row r="182" spans="1:9" ht="15">
      <c r="A182" s="15">
        <v>95</v>
      </c>
      <c r="B182" s="15">
        <v>20</v>
      </c>
      <c r="C182" s="19" t="s">
        <v>113</v>
      </c>
      <c r="D182" s="5"/>
      <c r="E182" s="5"/>
      <c r="F182" s="6">
        <f t="shared" si="10"/>
        <v>0</v>
      </c>
      <c r="G182" s="5"/>
      <c r="H182" s="5"/>
      <c r="I182" s="6">
        <f t="shared" si="11"/>
        <v>0</v>
      </c>
    </row>
    <row r="183" spans="1:9" ht="15">
      <c r="A183" s="15">
        <v>96</v>
      </c>
      <c r="B183" s="15">
        <v>21</v>
      </c>
      <c r="C183" s="19" t="s">
        <v>114</v>
      </c>
      <c r="D183" s="5"/>
      <c r="E183" s="5"/>
      <c r="F183" s="6">
        <f>SUM(D183:E183)</f>
        <v>0</v>
      </c>
      <c r="G183" s="5"/>
      <c r="H183" s="5"/>
      <c r="I183" s="6">
        <f>SUM(G183:H183)</f>
        <v>0</v>
      </c>
    </row>
    <row r="184" spans="1:9" ht="15">
      <c r="A184" s="15">
        <v>97</v>
      </c>
      <c r="B184" s="15">
        <v>22</v>
      </c>
      <c r="C184" s="19" t="s">
        <v>115</v>
      </c>
      <c r="D184" s="5"/>
      <c r="E184" s="5"/>
      <c r="F184" s="6">
        <f t="shared" si="10"/>
        <v>0</v>
      </c>
      <c r="G184" s="5"/>
      <c r="H184" s="5"/>
      <c r="I184" s="6">
        <f>SUM(G184:H184)</f>
        <v>0</v>
      </c>
    </row>
    <row r="185" spans="1:9" ht="15">
      <c r="A185" s="15">
        <v>98</v>
      </c>
      <c r="B185" s="15">
        <v>23</v>
      </c>
      <c r="C185" s="19" t="s">
        <v>116</v>
      </c>
      <c r="D185" s="5"/>
      <c r="E185" s="5"/>
      <c r="F185" s="6">
        <f t="shared" si="10"/>
        <v>0</v>
      </c>
      <c r="G185" s="5"/>
      <c r="H185" s="5"/>
      <c r="I185" s="6">
        <f>SUM(G185:H185)</f>
        <v>0</v>
      </c>
    </row>
    <row r="186" spans="1:9" ht="15">
      <c r="A186" s="224" t="s">
        <v>5</v>
      </c>
      <c r="B186" s="225"/>
      <c r="C186" s="225"/>
      <c r="D186" s="7">
        <f>SUM(D163:D185)</f>
        <v>28078769</v>
      </c>
      <c r="E186" s="7">
        <f>SUM(E163:E185)</f>
        <v>2028500</v>
      </c>
      <c r="F186" s="7">
        <f>SUM(D186:E186)</f>
        <v>30107269</v>
      </c>
      <c r="G186" s="7">
        <f>SUM(G163:G185)</f>
        <v>8278924</v>
      </c>
      <c r="H186" s="7">
        <f>SUM(H163:H185)</f>
        <v>2007500</v>
      </c>
      <c r="I186" s="7">
        <f>SUM(G186:H186)</f>
        <v>10286424</v>
      </c>
    </row>
    <row r="187" spans="1:9" ht="15">
      <c r="A187" s="224" t="s">
        <v>117</v>
      </c>
      <c r="B187" s="225"/>
      <c r="C187" s="225"/>
      <c r="D187" s="225"/>
      <c r="E187" s="225"/>
      <c r="F187" s="225"/>
      <c r="G187" s="225"/>
      <c r="H187" s="225"/>
      <c r="I187" s="226"/>
    </row>
    <row r="188" spans="1:9" ht="15">
      <c r="A188" s="15">
        <v>99</v>
      </c>
      <c r="B188" s="15">
        <v>1</v>
      </c>
      <c r="C188" s="10" t="s">
        <v>118</v>
      </c>
      <c r="D188" s="5"/>
      <c r="E188" s="5"/>
      <c r="F188" s="6">
        <f>SUM(D188:E188)</f>
        <v>0</v>
      </c>
      <c r="G188" s="5"/>
      <c r="H188" s="5"/>
      <c r="I188" s="6">
        <f>SUM(G188:H188)</f>
        <v>0</v>
      </c>
    </row>
    <row r="189" spans="1:9" ht="15">
      <c r="A189" s="15">
        <v>100</v>
      </c>
      <c r="B189" s="15">
        <v>2</v>
      </c>
      <c r="C189" s="17" t="s">
        <v>119</v>
      </c>
      <c r="D189" s="5">
        <v>374475</v>
      </c>
      <c r="E189" s="5">
        <v>72200</v>
      </c>
      <c r="F189" s="6">
        <f aca="true" t="shared" si="12" ref="F189:F240">SUM(D189:E189)</f>
        <v>446675</v>
      </c>
      <c r="G189" s="5">
        <v>441900</v>
      </c>
      <c r="H189" s="5">
        <v>72200</v>
      </c>
      <c r="I189" s="6">
        <f aca="true" t="shared" si="13" ref="I189:I197">SUM(G189:H189)</f>
        <v>514100</v>
      </c>
    </row>
    <row r="190" spans="1:9" ht="15">
      <c r="A190" s="15">
        <v>101</v>
      </c>
      <c r="B190" s="15">
        <v>3</v>
      </c>
      <c r="C190" s="17" t="s">
        <v>120</v>
      </c>
      <c r="D190" s="5"/>
      <c r="E190" s="5"/>
      <c r="F190" s="6">
        <f t="shared" si="12"/>
        <v>0</v>
      </c>
      <c r="G190" s="5"/>
      <c r="H190" s="5"/>
      <c r="I190" s="6">
        <f t="shared" si="13"/>
        <v>0</v>
      </c>
    </row>
    <row r="191" spans="1:9" ht="15">
      <c r="A191" s="15">
        <v>102</v>
      </c>
      <c r="B191" s="15">
        <v>4</v>
      </c>
      <c r="C191" s="10" t="s">
        <v>121</v>
      </c>
      <c r="D191" s="5"/>
      <c r="E191" s="5"/>
      <c r="F191" s="6">
        <f t="shared" si="12"/>
        <v>0</v>
      </c>
      <c r="G191" s="5"/>
      <c r="H191" s="5"/>
      <c r="I191" s="6">
        <f t="shared" si="13"/>
        <v>0</v>
      </c>
    </row>
    <row r="192" spans="1:9" ht="15">
      <c r="A192" s="15">
        <v>103</v>
      </c>
      <c r="B192" s="15">
        <v>5</v>
      </c>
      <c r="C192" s="23" t="s">
        <v>122</v>
      </c>
      <c r="D192" s="5"/>
      <c r="E192" s="5"/>
      <c r="F192" s="6">
        <f t="shared" si="12"/>
        <v>0</v>
      </c>
      <c r="G192" s="5"/>
      <c r="H192" s="5"/>
      <c r="I192" s="6">
        <f t="shared" si="13"/>
        <v>0</v>
      </c>
    </row>
    <row r="193" spans="1:9" ht="15">
      <c r="A193" s="15">
        <v>104</v>
      </c>
      <c r="B193" s="15">
        <v>6</v>
      </c>
      <c r="C193" s="23" t="s">
        <v>123</v>
      </c>
      <c r="D193" s="5">
        <v>195300</v>
      </c>
      <c r="E193" s="5">
        <v>340000</v>
      </c>
      <c r="F193" s="6">
        <f t="shared" si="12"/>
        <v>535300</v>
      </c>
      <c r="G193" s="5">
        <v>196000</v>
      </c>
      <c r="H193" s="5">
        <v>340000</v>
      </c>
      <c r="I193" s="6">
        <f t="shared" si="13"/>
        <v>536000</v>
      </c>
    </row>
    <row r="194" spans="1:9" ht="15">
      <c r="A194" s="15">
        <v>105</v>
      </c>
      <c r="B194" s="15">
        <v>7</v>
      </c>
      <c r="C194" s="23" t="s">
        <v>124</v>
      </c>
      <c r="D194" s="5"/>
      <c r="E194" s="5"/>
      <c r="F194" s="6">
        <f t="shared" si="12"/>
        <v>0</v>
      </c>
      <c r="G194" s="5"/>
      <c r="H194" s="5"/>
      <c r="I194" s="6">
        <f t="shared" si="13"/>
        <v>0</v>
      </c>
    </row>
    <row r="195" spans="1:9" ht="15">
      <c r="A195" s="15">
        <v>106</v>
      </c>
      <c r="B195" s="15">
        <v>8</v>
      </c>
      <c r="C195" s="23" t="s">
        <v>125</v>
      </c>
      <c r="D195" s="5"/>
      <c r="E195" s="5"/>
      <c r="F195" s="6">
        <f t="shared" si="12"/>
        <v>0</v>
      </c>
      <c r="G195" s="5"/>
      <c r="H195" s="5"/>
      <c r="I195" s="6">
        <f t="shared" si="13"/>
        <v>0</v>
      </c>
    </row>
    <row r="196" spans="1:9" ht="15">
      <c r="A196" s="15">
        <v>107</v>
      </c>
      <c r="B196" s="15">
        <v>9</v>
      </c>
      <c r="C196" s="23" t="s">
        <v>126</v>
      </c>
      <c r="D196" s="5"/>
      <c r="E196" s="5"/>
      <c r="F196" s="6">
        <f t="shared" si="12"/>
        <v>0</v>
      </c>
      <c r="G196" s="5"/>
      <c r="H196" s="5"/>
      <c r="I196" s="6">
        <f t="shared" si="13"/>
        <v>0</v>
      </c>
    </row>
    <row r="197" spans="1:9" ht="15">
      <c r="A197" s="15">
        <v>108</v>
      </c>
      <c r="B197" s="15">
        <v>10</v>
      </c>
      <c r="C197" s="23" t="s">
        <v>127</v>
      </c>
      <c r="D197" s="5"/>
      <c r="E197" s="5"/>
      <c r="F197" s="6">
        <f t="shared" si="12"/>
        <v>0</v>
      </c>
      <c r="G197" s="5"/>
      <c r="H197" s="5"/>
      <c r="I197" s="6">
        <f t="shared" si="13"/>
        <v>0</v>
      </c>
    </row>
    <row r="198" spans="1:9" ht="15">
      <c r="A198" s="15">
        <v>109</v>
      </c>
      <c r="B198" s="15">
        <v>11</v>
      </c>
      <c r="C198" s="23" t="s">
        <v>129</v>
      </c>
      <c r="D198" s="5"/>
      <c r="E198" s="5"/>
      <c r="F198" s="6">
        <f>SUM(D198:E198)</f>
        <v>0</v>
      </c>
      <c r="G198" s="5"/>
      <c r="H198" s="5"/>
      <c r="I198" s="6">
        <f>SUM(G198:H198)</f>
        <v>0</v>
      </c>
    </row>
    <row r="199" spans="1:9" ht="15">
      <c r="A199" s="15">
        <v>110</v>
      </c>
      <c r="B199" s="15">
        <v>12</v>
      </c>
      <c r="C199" s="24" t="s">
        <v>128</v>
      </c>
      <c r="D199" s="86"/>
      <c r="E199" s="5">
        <v>400000</v>
      </c>
      <c r="F199" s="6">
        <f>SUM(D199:E199)</f>
        <v>400000</v>
      </c>
      <c r="G199" s="86"/>
      <c r="H199" s="5">
        <v>400000</v>
      </c>
      <c r="I199" s="6">
        <f>SUM(G199:H199)</f>
        <v>400000</v>
      </c>
    </row>
    <row r="200" spans="1:9" ht="15">
      <c r="A200" s="15">
        <v>111</v>
      </c>
      <c r="B200" s="15">
        <v>13</v>
      </c>
      <c r="C200" s="23" t="s">
        <v>130</v>
      </c>
      <c r="D200" s="5"/>
      <c r="E200" s="5"/>
      <c r="F200" s="6">
        <f t="shared" si="12"/>
        <v>0</v>
      </c>
      <c r="G200" s="5"/>
      <c r="H200" s="5"/>
      <c r="I200" s="6">
        <f aca="true" t="shared" si="14" ref="I200:I240">SUM(G200:H200)</f>
        <v>0</v>
      </c>
    </row>
    <row r="201" spans="1:9" ht="15">
      <c r="A201" s="15">
        <v>112</v>
      </c>
      <c r="B201" s="15">
        <v>14</v>
      </c>
      <c r="C201" s="23" t="s">
        <v>131</v>
      </c>
      <c r="D201" s="5">
        <v>550000</v>
      </c>
      <c r="E201" s="5">
        <v>406000</v>
      </c>
      <c r="F201" s="6">
        <f t="shared" si="12"/>
        <v>956000</v>
      </c>
      <c r="G201" s="5"/>
      <c r="H201" s="5"/>
      <c r="I201" s="6">
        <f t="shared" si="14"/>
        <v>0</v>
      </c>
    </row>
    <row r="202" spans="1:9" ht="15">
      <c r="A202" s="15">
        <v>113</v>
      </c>
      <c r="B202" s="15">
        <v>15</v>
      </c>
      <c r="C202" s="23" t="s">
        <v>132</v>
      </c>
      <c r="D202" s="5"/>
      <c r="E202" s="5">
        <v>46000</v>
      </c>
      <c r="F202" s="6">
        <f t="shared" si="12"/>
        <v>46000</v>
      </c>
      <c r="G202" s="5"/>
      <c r="H202" s="5">
        <v>46000</v>
      </c>
      <c r="I202" s="6">
        <f t="shared" si="14"/>
        <v>46000</v>
      </c>
    </row>
    <row r="203" spans="1:9" ht="15">
      <c r="A203" s="15">
        <v>114</v>
      </c>
      <c r="B203" s="15">
        <v>16</v>
      </c>
      <c r="C203" s="23" t="s">
        <v>133</v>
      </c>
      <c r="D203" s="5"/>
      <c r="E203" s="5"/>
      <c r="F203" s="6">
        <f t="shared" si="12"/>
        <v>0</v>
      </c>
      <c r="G203" s="5"/>
      <c r="H203" s="5"/>
      <c r="I203" s="6">
        <f t="shared" si="14"/>
        <v>0</v>
      </c>
    </row>
    <row r="204" spans="1:9" ht="15">
      <c r="A204" s="15">
        <v>115</v>
      </c>
      <c r="B204" s="15">
        <v>17</v>
      </c>
      <c r="C204" s="23" t="s">
        <v>134</v>
      </c>
      <c r="D204" s="5"/>
      <c r="E204" s="5">
        <v>17000</v>
      </c>
      <c r="F204" s="6">
        <f t="shared" si="12"/>
        <v>17000</v>
      </c>
      <c r="G204" s="5"/>
      <c r="H204" s="5">
        <v>17000</v>
      </c>
      <c r="I204" s="6">
        <f t="shared" si="14"/>
        <v>17000</v>
      </c>
    </row>
    <row r="205" spans="1:9" ht="15">
      <c r="A205" s="15">
        <v>116</v>
      </c>
      <c r="B205" s="15">
        <v>18</v>
      </c>
      <c r="C205" s="23" t="s">
        <v>135</v>
      </c>
      <c r="D205" s="5"/>
      <c r="E205" s="5"/>
      <c r="F205" s="6">
        <f t="shared" si="12"/>
        <v>0</v>
      </c>
      <c r="G205" s="5"/>
      <c r="H205" s="5"/>
      <c r="I205" s="6">
        <f t="shared" si="14"/>
        <v>0</v>
      </c>
    </row>
    <row r="206" spans="1:9" ht="15">
      <c r="A206" s="15">
        <v>117</v>
      </c>
      <c r="B206" s="15">
        <v>19</v>
      </c>
      <c r="C206" s="23" t="s">
        <v>136</v>
      </c>
      <c r="D206" s="5"/>
      <c r="E206" s="5">
        <v>182000</v>
      </c>
      <c r="F206" s="6">
        <f t="shared" si="12"/>
        <v>182000</v>
      </c>
      <c r="G206" s="5"/>
      <c r="H206" s="5">
        <v>182000</v>
      </c>
      <c r="I206" s="6">
        <f t="shared" si="14"/>
        <v>182000</v>
      </c>
    </row>
    <row r="207" spans="1:9" ht="15">
      <c r="A207" s="15">
        <v>118</v>
      </c>
      <c r="B207" s="15">
        <v>20</v>
      </c>
      <c r="C207" s="23" t="s">
        <v>137</v>
      </c>
      <c r="D207" s="5"/>
      <c r="E207" s="5"/>
      <c r="F207" s="6">
        <f t="shared" si="12"/>
        <v>0</v>
      </c>
      <c r="G207" s="5"/>
      <c r="H207" s="5">
        <v>572000</v>
      </c>
      <c r="I207" s="6">
        <f t="shared" si="14"/>
        <v>572000</v>
      </c>
    </row>
    <row r="208" spans="1:9" ht="15">
      <c r="A208" s="15">
        <v>119</v>
      </c>
      <c r="B208" s="15">
        <v>21</v>
      </c>
      <c r="C208" s="23" t="s">
        <v>138</v>
      </c>
      <c r="D208" s="5"/>
      <c r="E208" s="5">
        <v>145000</v>
      </c>
      <c r="F208" s="6">
        <f t="shared" si="12"/>
        <v>145000</v>
      </c>
      <c r="G208" s="5"/>
      <c r="H208" s="5">
        <v>145000</v>
      </c>
      <c r="I208" s="6">
        <f t="shared" si="14"/>
        <v>145000</v>
      </c>
    </row>
    <row r="209" spans="1:9" ht="15">
      <c r="A209" s="15">
        <v>120</v>
      </c>
      <c r="B209" s="15">
        <v>22</v>
      </c>
      <c r="C209" s="23" t="s">
        <v>139</v>
      </c>
      <c r="D209" s="5"/>
      <c r="E209" s="5">
        <v>165000</v>
      </c>
      <c r="F209" s="6">
        <f t="shared" si="12"/>
        <v>165000</v>
      </c>
      <c r="G209" s="5"/>
      <c r="H209" s="5">
        <v>165000</v>
      </c>
      <c r="I209" s="6">
        <f t="shared" si="14"/>
        <v>165000</v>
      </c>
    </row>
    <row r="210" spans="1:9" ht="15">
      <c r="A210" s="15">
        <v>121</v>
      </c>
      <c r="B210" s="15">
        <v>23</v>
      </c>
      <c r="C210" s="23" t="s">
        <v>140</v>
      </c>
      <c r="D210" s="5"/>
      <c r="E210" s="5"/>
      <c r="F210" s="6">
        <f t="shared" si="12"/>
        <v>0</v>
      </c>
      <c r="G210" s="5"/>
      <c r="H210" s="5"/>
      <c r="I210" s="6">
        <f t="shared" si="14"/>
        <v>0</v>
      </c>
    </row>
    <row r="211" spans="1:9" ht="15">
      <c r="A211" s="15">
        <v>122</v>
      </c>
      <c r="B211" s="15">
        <v>24</v>
      </c>
      <c r="C211" s="23" t="s">
        <v>141</v>
      </c>
      <c r="D211" s="5">
        <v>154000</v>
      </c>
      <c r="E211" s="5">
        <v>670000</v>
      </c>
      <c r="F211" s="6">
        <f t="shared" si="12"/>
        <v>824000</v>
      </c>
      <c r="G211" s="5">
        <v>154000</v>
      </c>
      <c r="H211" s="5">
        <v>670000</v>
      </c>
      <c r="I211" s="6">
        <f t="shared" si="14"/>
        <v>824000</v>
      </c>
    </row>
    <row r="212" spans="1:9" ht="15">
      <c r="A212" s="15">
        <v>123</v>
      </c>
      <c r="B212" s="15">
        <v>25</v>
      </c>
      <c r="C212" s="23" t="s">
        <v>142</v>
      </c>
      <c r="D212" s="5">
        <v>496000</v>
      </c>
      <c r="E212" s="5"/>
      <c r="F212" s="6">
        <f t="shared" si="12"/>
        <v>496000</v>
      </c>
      <c r="G212" s="5">
        <v>496000</v>
      </c>
      <c r="H212" s="5">
        <v>228000</v>
      </c>
      <c r="I212" s="6">
        <f t="shared" si="14"/>
        <v>724000</v>
      </c>
    </row>
    <row r="213" spans="1:9" ht="15">
      <c r="A213" s="15">
        <v>124</v>
      </c>
      <c r="B213" s="15">
        <v>26</v>
      </c>
      <c r="C213" s="23" t="s">
        <v>143</v>
      </c>
      <c r="D213" s="5"/>
      <c r="E213" s="5"/>
      <c r="F213" s="6">
        <f t="shared" si="12"/>
        <v>0</v>
      </c>
      <c r="G213" s="5"/>
      <c r="H213" s="5"/>
      <c r="I213" s="6">
        <f t="shared" si="14"/>
        <v>0</v>
      </c>
    </row>
    <row r="214" spans="1:9" ht="15">
      <c r="A214" s="15">
        <v>125</v>
      </c>
      <c r="B214" s="15">
        <v>27</v>
      </c>
      <c r="C214" s="23" t="s">
        <v>144</v>
      </c>
      <c r="D214" s="5"/>
      <c r="E214" s="5"/>
      <c r="F214" s="6">
        <f t="shared" si="12"/>
        <v>0</v>
      </c>
      <c r="G214" s="5">
        <v>930000</v>
      </c>
      <c r="H214" s="5"/>
      <c r="I214" s="6">
        <f t="shared" si="14"/>
        <v>930000</v>
      </c>
    </row>
    <row r="215" spans="1:9" ht="15">
      <c r="A215" s="15">
        <v>126</v>
      </c>
      <c r="B215" s="15">
        <v>28</v>
      </c>
      <c r="C215" s="23" t="s">
        <v>145</v>
      </c>
      <c r="D215" s="5"/>
      <c r="E215" s="5"/>
      <c r="F215" s="6">
        <f t="shared" si="12"/>
        <v>0</v>
      </c>
      <c r="G215" s="5"/>
      <c r="H215" s="5"/>
      <c r="I215" s="6">
        <f t="shared" si="14"/>
        <v>0</v>
      </c>
    </row>
    <row r="216" spans="1:9" ht="15">
      <c r="A216" s="15">
        <v>127</v>
      </c>
      <c r="B216" s="15">
        <v>29</v>
      </c>
      <c r="C216" s="23" t="s">
        <v>146</v>
      </c>
      <c r="D216" s="5"/>
      <c r="E216" s="5"/>
      <c r="F216" s="6">
        <f t="shared" si="12"/>
        <v>0</v>
      </c>
      <c r="G216" s="5"/>
      <c r="H216" s="5"/>
      <c r="I216" s="6">
        <f t="shared" si="14"/>
        <v>0</v>
      </c>
    </row>
    <row r="217" spans="1:9" ht="15">
      <c r="A217" s="15">
        <v>128</v>
      </c>
      <c r="B217" s="15">
        <v>30</v>
      </c>
      <c r="C217" s="23" t="s">
        <v>147</v>
      </c>
      <c r="D217" s="5"/>
      <c r="E217" s="5"/>
      <c r="F217" s="6">
        <f t="shared" si="12"/>
        <v>0</v>
      </c>
      <c r="G217" s="5"/>
      <c r="H217" s="5"/>
      <c r="I217" s="6">
        <f t="shared" si="14"/>
        <v>0</v>
      </c>
    </row>
    <row r="218" spans="1:9" ht="15">
      <c r="A218" s="15">
        <v>129</v>
      </c>
      <c r="B218" s="15">
        <v>31</v>
      </c>
      <c r="C218" s="23" t="s">
        <v>148</v>
      </c>
      <c r="D218" s="5"/>
      <c r="E218" s="5"/>
      <c r="F218" s="6">
        <f t="shared" si="12"/>
        <v>0</v>
      </c>
      <c r="G218" s="5"/>
      <c r="H218" s="5"/>
      <c r="I218" s="6">
        <f t="shared" si="14"/>
        <v>0</v>
      </c>
    </row>
    <row r="219" spans="1:9" ht="15">
      <c r="A219" s="15">
        <v>130</v>
      </c>
      <c r="B219" s="15">
        <v>32</v>
      </c>
      <c r="C219" s="23" t="s">
        <v>149</v>
      </c>
      <c r="D219" s="5"/>
      <c r="E219" s="5">
        <v>110000</v>
      </c>
      <c r="F219" s="6">
        <f t="shared" si="12"/>
        <v>110000</v>
      </c>
      <c r="G219" s="5"/>
      <c r="H219" s="5">
        <v>110000</v>
      </c>
      <c r="I219" s="6">
        <f t="shared" si="14"/>
        <v>110000</v>
      </c>
    </row>
    <row r="220" spans="1:9" ht="15">
      <c r="A220" s="15">
        <v>131</v>
      </c>
      <c r="B220" s="15">
        <v>33</v>
      </c>
      <c r="C220" s="23" t="s">
        <v>150</v>
      </c>
      <c r="D220" s="5">
        <v>82000</v>
      </c>
      <c r="E220" s="5"/>
      <c r="F220" s="6">
        <f t="shared" si="12"/>
        <v>82000</v>
      </c>
      <c r="G220" s="5"/>
      <c r="H220" s="5">
        <v>82000</v>
      </c>
      <c r="I220" s="6">
        <f t="shared" si="14"/>
        <v>82000</v>
      </c>
    </row>
    <row r="221" spans="1:9" ht="15">
      <c r="A221" s="15">
        <v>132</v>
      </c>
      <c r="B221" s="15">
        <v>34</v>
      </c>
      <c r="C221" s="23" t="s">
        <v>151</v>
      </c>
      <c r="D221" s="5"/>
      <c r="E221" s="5"/>
      <c r="F221" s="6">
        <f t="shared" si="12"/>
        <v>0</v>
      </c>
      <c r="G221" s="5"/>
      <c r="H221" s="5"/>
      <c r="I221" s="6">
        <f t="shared" si="14"/>
        <v>0</v>
      </c>
    </row>
    <row r="222" spans="1:9" ht="15">
      <c r="A222" s="15">
        <v>133</v>
      </c>
      <c r="B222" s="15">
        <v>35</v>
      </c>
      <c r="C222" s="23" t="s">
        <v>152</v>
      </c>
      <c r="D222" s="5"/>
      <c r="E222" s="5"/>
      <c r="F222" s="6">
        <f t="shared" si="12"/>
        <v>0</v>
      </c>
      <c r="G222" s="5"/>
      <c r="H222" s="5"/>
      <c r="I222" s="6">
        <f t="shared" si="14"/>
        <v>0</v>
      </c>
    </row>
    <row r="223" spans="1:9" ht="15">
      <c r="A223" s="15">
        <v>134</v>
      </c>
      <c r="B223" s="15">
        <v>36</v>
      </c>
      <c r="C223" s="23" t="s">
        <v>153</v>
      </c>
      <c r="D223" s="5"/>
      <c r="E223" s="5"/>
      <c r="F223" s="6">
        <f t="shared" si="12"/>
        <v>0</v>
      </c>
      <c r="G223" s="5"/>
      <c r="H223" s="5"/>
      <c r="I223" s="6">
        <f t="shared" si="14"/>
        <v>0</v>
      </c>
    </row>
    <row r="224" spans="1:9" ht="15">
      <c r="A224" s="15">
        <v>135</v>
      </c>
      <c r="B224" s="15">
        <v>37</v>
      </c>
      <c r="C224" s="23" t="s">
        <v>154</v>
      </c>
      <c r="D224" s="5"/>
      <c r="E224" s="5"/>
      <c r="F224" s="6">
        <f t="shared" si="12"/>
        <v>0</v>
      </c>
      <c r="G224" s="5"/>
      <c r="H224" s="5"/>
      <c r="I224" s="6">
        <f t="shared" si="14"/>
        <v>0</v>
      </c>
    </row>
    <row r="225" spans="1:9" ht="15">
      <c r="A225" s="15">
        <v>136</v>
      </c>
      <c r="B225" s="15">
        <v>38</v>
      </c>
      <c r="C225" s="23" t="s">
        <v>155</v>
      </c>
      <c r="D225" s="5"/>
      <c r="E225" s="5"/>
      <c r="F225" s="6">
        <f t="shared" si="12"/>
        <v>0</v>
      </c>
      <c r="G225" s="5"/>
      <c r="H225" s="5"/>
      <c r="I225" s="6">
        <f t="shared" si="14"/>
        <v>0</v>
      </c>
    </row>
    <row r="226" spans="1:9" ht="15">
      <c r="A226" s="15">
        <v>137</v>
      </c>
      <c r="B226" s="15">
        <v>39</v>
      </c>
      <c r="C226" s="23" t="s">
        <v>156</v>
      </c>
      <c r="D226" s="5"/>
      <c r="E226" s="5">
        <v>320000</v>
      </c>
      <c r="F226" s="6">
        <f t="shared" si="12"/>
        <v>320000</v>
      </c>
      <c r="G226" s="5"/>
      <c r="H226" s="5">
        <v>320000</v>
      </c>
      <c r="I226" s="6">
        <f t="shared" si="14"/>
        <v>320000</v>
      </c>
    </row>
    <row r="227" spans="1:9" ht="15">
      <c r="A227" s="15">
        <v>138</v>
      </c>
      <c r="B227" s="15">
        <v>40</v>
      </c>
      <c r="C227" s="23" t="s">
        <v>157</v>
      </c>
      <c r="D227" s="5"/>
      <c r="E227" s="5"/>
      <c r="F227" s="6">
        <f t="shared" si="12"/>
        <v>0</v>
      </c>
      <c r="G227" s="5"/>
      <c r="H227" s="5"/>
      <c r="I227" s="6">
        <f t="shared" si="14"/>
        <v>0</v>
      </c>
    </row>
    <row r="228" spans="1:9" ht="15">
      <c r="A228" s="15">
        <v>139</v>
      </c>
      <c r="B228" s="15">
        <v>41</v>
      </c>
      <c r="C228" s="23" t="s">
        <v>158</v>
      </c>
      <c r="D228" s="5"/>
      <c r="E228" s="5"/>
      <c r="F228" s="6">
        <f t="shared" si="12"/>
        <v>0</v>
      </c>
      <c r="G228" s="5"/>
      <c r="H228" s="5"/>
      <c r="I228" s="6">
        <f t="shared" si="14"/>
        <v>0</v>
      </c>
    </row>
    <row r="229" spans="1:9" ht="15">
      <c r="A229" s="15">
        <v>140</v>
      </c>
      <c r="B229" s="15">
        <v>42</v>
      </c>
      <c r="C229" s="23" t="s">
        <v>159</v>
      </c>
      <c r="D229" s="5"/>
      <c r="E229" s="5"/>
      <c r="F229" s="6">
        <f t="shared" si="12"/>
        <v>0</v>
      </c>
      <c r="G229" s="5"/>
      <c r="H229" s="5"/>
      <c r="I229" s="6">
        <f t="shared" si="14"/>
        <v>0</v>
      </c>
    </row>
    <row r="230" spans="1:9" ht="15">
      <c r="A230" s="15">
        <v>141</v>
      </c>
      <c r="B230" s="15">
        <v>43</v>
      </c>
      <c r="C230" s="23" t="s">
        <v>160</v>
      </c>
      <c r="D230" s="5"/>
      <c r="E230" s="5"/>
      <c r="F230" s="6">
        <f t="shared" si="12"/>
        <v>0</v>
      </c>
      <c r="G230" s="5">
        <v>180000</v>
      </c>
      <c r="H230" s="5"/>
      <c r="I230" s="6">
        <f t="shared" si="14"/>
        <v>180000</v>
      </c>
    </row>
    <row r="231" spans="1:9" ht="15">
      <c r="A231" s="15">
        <v>142</v>
      </c>
      <c r="B231" s="15">
        <v>44</v>
      </c>
      <c r="C231" s="23" t="s">
        <v>161</v>
      </c>
      <c r="D231" s="5"/>
      <c r="E231" s="5"/>
      <c r="F231" s="6">
        <f t="shared" si="12"/>
        <v>0</v>
      </c>
      <c r="G231" s="5"/>
      <c r="H231" s="5"/>
      <c r="I231" s="6">
        <f t="shared" si="14"/>
        <v>0</v>
      </c>
    </row>
    <row r="232" spans="1:9" ht="15">
      <c r="A232" s="15">
        <v>143</v>
      </c>
      <c r="B232" s="15">
        <v>45</v>
      </c>
      <c r="C232" s="23" t="s">
        <v>246</v>
      </c>
      <c r="D232" s="5"/>
      <c r="E232" s="5"/>
      <c r="F232" s="6">
        <f>SUM(D232:E232)</f>
        <v>0</v>
      </c>
      <c r="G232" s="5"/>
      <c r="H232" s="5"/>
      <c r="I232" s="6">
        <f>SUM(G232:H232)</f>
        <v>0</v>
      </c>
    </row>
    <row r="233" spans="1:9" ht="15">
      <c r="A233" s="15">
        <v>144</v>
      </c>
      <c r="B233" s="15">
        <v>46</v>
      </c>
      <c r="C233" s="23" t="s">
        <v>169</v>
      </c>
      <c r="D233" s="5"/>
      <c r="E233" s="5"/>
      <c r="F233" s="6">
        <f>SUM(D233:E233)</f>
        <v>0</v>
      </c>
      <c r="G233" s="5"/>
      <c r="H233" s="5"/>
      <c r="I233" s="6">
        <f>SUM(G233:H233)</f>
        <v>0</v>
      </c>
    </row>
    <row r="234" spans="1:9" ht="15">
      <c r="A234" s="15">
        <v>145</v>
      </c>
      <c r="B234" s="15">
        <v>47</v>
      </c>
      <c r="C234" s="25" t="s">
        <v>170</v>
      </c>
      <c r="D234" s="5">
        <v>1000000</v>
      </c>
      <c r="E234" s="5"/>
      <c r="F234" s="6">
        <f>SUM(D234:E234)</f>
        <v>1000000</v>
      </c>
      <c r="G234" s="5">
        <v>1000000</v>
      </c>
      <c r="H234" s="5"/>
      <c r="I234" s="6">
        <f>SUM(G234:H234)</f>
        <v>1000000</v>
      </c>
    </row>
    <row r="235" spans="1:9" ht="15">
      <c r="A235" s="15">
        <v>146</v>
      </c>
      <c r="B235" s="15">
        <v>48</v>
      </c>
      <c r="C235" s="23" t="s">
        <v>162</v>
      </c>
      <c r="D235" s="5"/>
      <c r="E235" s="5"/>
      <c r="F235" s="6">
        <f t="shared" si="12"/>
        <v>0</v>
      </c>
      <c r="G235" s="5"/>
      <c r="H235" s="5"/>
      <c r="I235" s="6">
        <f t="shared" si="14"/>
        <v>0</v>
      </c>
    </row>
    <row r="236" spans="1:9" ht="15">
      <c r="A236" s="15">
        <v>147</v>
      </c>
      <c r="B236" s="15">
        <v>49</v>
      </c>
      <c r="C236" s="23" t="s">
        <v>165</v>
      </c>
      <c r="D236" s="5">
        <v>1000000</v>
      </c>
      <c r="E236" s="5"/>
      <c r="F236" s="6">
        <f t="shared" si="12"/>
        <v>1000000</v>
      </c>
      <c r="G236" s="5">
        <v>1000000</v>
      </c>
      <c r="H236" s="5"/>
      <c r="I236" s="6">
        <f t="shared" si="14"/>
        <v>1000000</v>
      </c>
    </row>
    <row r="237" spans="1:9" ht="15">
      <c r="A237" s="15">
        <v>148</v>
      </c>
      <c r="B237" s="15">
        <v>50</v>
      </c>
      <c r="C237" s="23" t="s">
        <v>166</v>
      </c>
      <c r="D237" s="5">
        <v>1500000</v>
      </c>
      <c r="E237" s="5"/>
      <c r="F237" s="6">
        <f t="shared" si="12"/>
        <v>1500000</v>
      </c>
      <c r="G237" s="5"/>
      <c r="H237" s="5"/>
      <c r="I237" s="6">
        <f t="shared" si="14"/>
        <v>0</v>
      </c>
    </row>
    <row r="238" spans="1:9" ht="15">
      <c r="A238" s="15">
        <v>149</v>
      </c>
      <c r="B238" s="15">
        <v>51</v>
      </c>
      <c r="C238" s="23" t="s">
        <v>167</v>
      </c>
      <c r="D238" s="5">
        <f>500000+3644136</f>
        <v>4144136</v>
      </c>
      <c r="E238" s="5"/>
      <c r="F238" s="6">
        <f t="shared" si="12"/>
        <v>4144136</v>
      </c>
      <c r="G238" s="5"/>
      <c r="H238" s="5"/>
      <c r="I238" s="6">
        <f t="shared" si="14"/>
        <v>0</v>
      </c>
    </row>
    <row r="239" spans="1:9" ht="15">
      <c r="A239" s="15">
        <v>150</v>
      </c>
      <c r="B239" s="15">
        <v>52</v>
      </c>
      <c r="C239" s="23" t="s">
        <v>168</v>
      </c>
      <c r="D239" s="5">
        <v>2000000</v>
      </c>
      <c r="E239" s="5"/>
      <c r="F239" s="6">
        <f t="shared" si="12"/>
        <v>2000000</v>
      </c>
      <c r="G239" s="5"/>
      <c r="H239" s="5"/>
      <c r="I239" s="6">
        <f t="shared" si="14"/>
        <v>0</v>
      </c>
    </row>
    <row r="240" spans="1:9" ht="15">
      <c r="A240" s="15">
        <v>151</v>
      </c>
      <c r="B240" s="15">
        <v>53</v>
      </c>
      <c r="C240" s="23" t="s">
        <v>494</v>
      </c>
      <c r="D240" s="5">
        <v>391000</v>
      </c>
      <c r="E240" s="5"/>
      <c r="F240" s="6">
        <f t="shared" si="12"/>
        <v>391000</v>
      </c>
      <c r="G240" s="5">
        <v>391000</v>
      </c>
      <c r="H240" s="5"/>
      <c r="I240" s="6">
        <f t="shared" si="14"/>
        <v>391000</v>
      </c>
    </row>
    <row r="241" spans="1:11" ht="15">
      <c r="A241" s="15">
        <v>152</v>
      </c>
      <c r="B241" s="15">
        <v>54</v>
      </c>
      <c r="C241" s="23" t="s">
        <v>617</v>
      </c>
      <c r="D241" s="5">
        <v>7419790</v>
      </c>
      <c r="E241" s="5"/>
      <c r="F241" s="6"/>
      <c r="G241" s="5"/>
      <c r="H241" s="5"/>
      <c r="I241" s="6"/>
      <c r="K241" s="118"/>
    </row>
    <row r="242" spans="1:9" ht="15">
      <c r="A242" s="15">
        <v>153</v>
      </c>
      <c r="B242" s="15">
        <v>55</v>
      </c>
      <c r="C242" s="23" t="s">
        <v>163</v>
      </c>
      <c r="D242" s="5">
        <f>750000+750000</f>
        <v>1500000</v>
      </c>
      <c r="E242" s="5"/>
      <c r="F242" s="6">
        <f>SUM(D242:E242)</f>
        <v>1500000</v>
      </c>
      <c r="G242" s="5"/>
      <c r="H242" s="5"/>
      <c r="I242" s="6">
        <f>SUM(G242:H242)</f>
        <v>0</v>
      </c>
    </row>
    <row r="243" spans="1:9" ht="15">
      <c r="A243" s="15">
        <v>154</v>
      </c>
      <c r="B243" s="15">
        <v>56</v>
      </c>
      <c r="C243" s="23" t="s">
        <v>164</v>
      </c>
      <c r="D243" s="5"/>
      <c r="E243" s="5"/>
      <c r="F243" s="6">
        <f>SUM(D243:E243)</f>
        <v>0</v>
      </c>
      <c r="G243" s="5">
        <v>700000</v>
      </c>
      <c r="H243" s="5"/>
      <c r="I243" s="6">
        <f>SUM(G243:H243)</f>
        <v>700000</v>
      </c>
    </row>
    <row r="244" spans="1:9" ht="15">
      <c r="A244" s="15">
        <v>155</v>
      </c>
      <c r="B244" s="15">
        <v>57</v>
      </c>
      <c r="C244" s="23" t="s">
        <v>247</v>
      </c>
      <c r="D244" s="5"/>
      <c r="E244" s="5"/>
      <c r="F244" s="6">
        <f>SUM(D244:E244)</f>
        <v>0</v>
      </c>
      <c r="G244" s="5"/>
      <c r="H244" s="5"/>
      <c r="I244" s="6">
        <f>SUM(G244:H244)</f>
        <v>0</v>
      </c>
    </row>
    <row r="245" spans="1:9" ht="15">
      <c r="A245" s="239" t="s">
        <v>5</v>
      </c>
      <c r="B245" s="239"/>
      <c r="C245" s="239"/>
      <c r="D245" s="7">
        <f>SUM(D188:D244)</f>
        <v>20806701</v>
      </c>
      <c r="E245" s="7">
        <f>SUM(E188:E244)</f>
        <v>2873200</v>
      </c>
      <c r="F245" s="7">
        <f>SUM(D245:E245)</f>
        <v>23679901</v>
      </c>
      <c r="G245" s="7">
        <f>SUM(G188:G244)</f>
        <v>5488900</v>
      </c>
      <c r="H245" s="7">
        <f>SUM(H188:H244)</f>
        <v>3349200</v>
      </c>
      <c r="I245" s="7">
        <f>SUM(G245:H245)</f>
        <v>8838100</v>
      </c>
    </row>
    <row r="246" spans="1:9" ht="15">
      <c r="A246" s="224" t="s">
        <v>575</v>
      </c>
      <c r="B246" s="225"/>
      <c r="C246" s="225"/>
      <c r="D246" s="225"/>
      <c r="E246" s="225"/>
      <c r="F246" s="225"/>
      <c r="G246" s="225"/>
      <c r="H246" s="225"/>
      <c r="I246" s="226"/>
    </row>
    <row r="247" spans="1:9" ht="15">
      <c r="A247" s="15">
        <v>155</v>
      </c>
      <c r="B247" s="15">
        <v>1</v>
      </c>
      <c r="C247" s="20" t="s">
        <v>574</v>
      </c>
      <c r="D247" s="5">
        <v>6787439</v>
      </c>
      <c r="E247" s="5">
        <v>2091000</v>
      </c>
      <c r="F247" s="6">
        <f>SUM(D247:E247)</f>
        <v>8878439</v>
      </c>
      <c r="G247" s="5">
        <v>7035179</v>
      </c>
      <c r="H247" s="5">
        <v>2010150</v>
      </c>
      <c r="I247" s="6">
        <f>SUM(G247:H247)</f>
        <v>9045329</v>
      </c>
    </row>
    <row r="248" spans="1:9" ht="15">
      <c r="A248" s="15">
        <v>156</v>
      </c>
      <c r="B248" s="79">
        <v>2</v>
      </c>
      <c r="C248" s="96" t="s">
        <v>250</v>
      </c>
      <c r="D248" s="5"/>
      <c r="E248" s="5"/>
      <c r="F248" s="6">
        <f>SUM(D248:E248)</f>
        <v>0</v>
      </c>
      <c r="G248" s="5"/>
      <c r="H248" s="5"/>
      <c r="I248" s="6">
        <f>SUM(G248:H248)</f>
        <v>0</v>
      </c>
    </row>
    <row r="249" spans="1:9" ht="15">
      <c r="A249" s="224" t="s">
        <v>42</v>
      </c>
      <c r="B249" s="225"/>
      <c r="C249" s="225"/>
      <c r="D249" s="7">
        <f>D247</f>
        <v>6787439</v>
      </c>
      <c r="E249" s="7">
        <f>E247</f>
        <v>2091000</v>
      </c>
      <c r="F249" s="7">
        <f>SUM(D249:E249)</f>
        <v>8878439</v>
      </c>
      <c r="G249" s="7">
        <f>SUM(G247:G248)</f>
        <v>7035179</v>
      </c>
      <c r="H249" s="7">
        <f>SUM(H247:H248)</f>
        <v>2010150</v>
      </c>
      <c r="I249" s="7">
        <f>SUM(G249:H249)</f>
        <v>9045329</v>
      </c>
    </row>
    <row r="250" spans="1:9" ht="15">
      <c r="A250" s="224" t="s">
        <v>173</v>
      </c>
      <c r="B250" s="225"/>
      <c r="C250" s="225"/>
      <c r="D250" s="225"/>
      <c r="E250" s="225"/>
      <c r="F250" s="225"/>
      <c r="G250" s="225"/>
      <c r="H250" s="225"/>
      <c r="I250" s="226"/>
    </row>
    <row r="251" spans="1:9" ht="15">
      <c r="A251" s="15">
        <v>157</v>
      </c>
      <c r="B251" s="15">
        <v>1</v>
      </c>
      <c r="C251" s="26" t="s">
        <v>174</v>
      </c>
      <c r="D251" s="5"/>
      <c r="E251" s="27"/>
      <c r="F251" s="6">
        <f>SUM(D251:E251)</f>
        <v>0</v>
      </c>
      <c r="G251" s="5"/>
      <c r="H251" s="27"/>
      <c r="I251" s="6">
        <f>SUM(G251:H251)</f>
        <v>0</v>
      </c>
    </row>
    <row r="252" spans="1:9" ht="15">
      <c r="A252" s="15">
        <v>158</v>
      </c>
      <c r="B252" s="15">
        <v>2</v>
      </c>
      <c r="C252" s="28" t="s">
        <v>175</v>
      </c>
      <c r="D252" s="5"/>
      <c r="E252" s="27">
        <v>1500000</v>
      </c>
      <c r="F252" s="6">
        <f>D252+E252</f>
        <v>1500000</v>
      </c>
      <c r="G252" s="5"/>
      <c r="H252" s="27">
        <v>1500000</v>
      </c>
      <c r="I252" s="6">
        <f>G252+H252</f>
        <v>1500000</v>
      </c>
    </row>
    <row r="253" spans="1:9" ht="15">
      <c r="A253" s="224" t="s">
        <v>42</v>
      </c>
      <c r="B253" s="225"/>
      <c r="C253" s="225"/>
      <c r="D253" s="7">
        <f>SUM(D251:D252)</f>
        <v>0</v>
      </c>
      <c r="E253" s="7">
        <f>SUM(E251:E252)</f>
        <v>1500000</v>
      </c>
      <c r="F253" s="7">
        <f>SUM(D253:E253)</f>
        <v>1500000</v>
      </c>
      <c r="G253" s="7">
        <f>SUM(G251:G252)</f>
        <v>0</v>
      </c>
      <c r="H253" s="7">
        <f>SUM(H251:H252)</f>
        <v>1500000</v>
      </c>
      <c r="I253" s="7">
        <f>SUM(G253:H253)</f>
        <v>1500000</v>
      </c>
    </row>
    <row r="254" spans="1:9" ht="15">
      <c r="A254" s="224" t="s">
        <v>524</v>
      </c>
      <c r="B254" s="225"/>
      <c r="C254" s="225"/>
      <c r="D254" s="225"/>
      <c r="E254" s="225"/>
      <c r="F254" s="225"/>
      <c r="G254" s="225"/>
      <c r="H254" s="225"/>
      <c r="I254" s="226"/>
    </row>
    <row r="255" spans="1:9" ht="15">
      <c r="A255" s="15">
        <v>159</v>
      </c>
      <c r="B255" s="15">
        <v>1</v>
      </c>
      <c r="C255" s="26" t="s">
        <v>525</v>
      </c>
      <c r="D255" s="5"/>
      <c r="E255" s="27">
        <f>2802000+746000</f>
        <v>3548000</v>
      </c>
      <c r="F255" s="6">
        <f>SUM(D255:E255)</f>
        <v>3548000</v>
      </c>
      <c r="G255" s="5"/>
      <c r="H255" s="27">
        <v>1187500</v>
      </c>
      <c r="I255" s="6">
        <f>SUM(G255:H255)</f>
        <v>1187500</v>
      </c>
    </row>
    <row r="256" spans="1:9" ht="15">
      <c r="A256" s="224" t="s">
        <v>42</v>
      </c>
      <c r="B256" s="225"/>
      <c r="C256" s="225"/>
      <c r="D256" s="7">
        <f>SUM(D255:D255)</f>
        <v>0</v>
      </c>
      <c r="E256" s="7">
        <f>SUM(E255:E255)</f>
        <v>3548000</v>
      </c>
      <c r="F256" s="7">
        <f>SUM(D256:E256)</f>
        <v>3548000</v>
      </c>
      <c r="G256" s="7">
        <f>SUM(G255:G255)</f>
        <v>0</v>
      </c>
      <c r="H256" s="7">
        <f>SUM(H255:H255)</f>
        <v>1187500</v>
      </c>
      <c r="I256" s="7">
        <f>SUM(G256:H256)</f>
        <v>1187500</v>
      </c>
    </row>
    <row r="257" spans="1:9" ht="15">
      <c r="A257" s="224" t="s">
        <v>176</v>
      </c>
      <c r="B257" s="225"/>
      <c r="C257" s="225"/>
      <c r="D257" s="225"/>
      <c r="E257" s="225"/>
      <c r="F257" s="225"/>
      <c r="G257" s="225"/>
      <c r="H257" s="225"/>
      <c r="I257" s="226"/>
    </row>
    <row r="258" spans="1:13" ht="15">
      <c r="A258" s="15">
        <v>160</v>
      </c>
      <c r="B258" s="15">
        <v>1</v>
      </c>
      <c r="C258" s="17" t="s">
        <v>177</v>
      </c>
      <c r="D258" s="5"/>
      <c r="E258" s="5"/>
      <c r="F258" s="6">
        <f>SUM(D258:E258)</f>
        <v>0</v>
      </c>
      <c r="G258" s="5"/>
      <c r="H258" s="5"/>
      <c r="I258" s="6">
        <f>SUM(G258:H258)</f>
        <v>0</v>
      </c>
      <c r="L258" s="119"/>
      <c r="M258" s="119"/>
    </row>
    <row r="259" spans="1:13" ht="15">
      <c r="A259" s="15">
        <v>161</v>
      </c>
      <c r="B259" s="15">
        <v>2</v>
      </c>
      <c r="C259" s="17" t="s">
        <v>178</v>
      </c>
      <c r="D259" s="5">
        <f>6000000+2097415+47000+18000+20000</f>
        <v>8182415</v>
      </c>
      <c r="E259" s="5">
        <f>10658700+20000+20000+1967960+1120000+1340000+167000+1903500+30000+150000</f>
        <v>17377160</v>
      </c>
      <c r="F259" s="6">
        <f aca="true" t="shared" si="15" ref="F259:F266">SUM(D259:E259)</f>
        <v>25559575</v>
      </c>
      <c r="G259" s="5">
        <f>2000000+76500+35700</f>
        <v>2112200</v>
      </c>
      <c r="H259" s="5">
        <f>498250+447800+248000</f>
        <v>1194050</v>
      </c>
      <c r="I259" s="6">
        <f aca="true" t="shared" si="16" ref="I259:I266">SUM(G259:H259)</f>
        <v>3306250</v>
      </c>
      <c r="L259" s="16"/>
      <c r="M259" s="100"/>
    </row>
    <row r="260" spans="1:13" ht="15">
      <c r="A260" s="15">
        <v>162</v>
      </c>
      <c r="B260" s="15">
        <v>3</v>
      </c>
      <c r="C260" s="29" t="s">
        <v>179</v>
      </c>
      <c r="D260" s="5"/>
      <c r="E260" s="5"/>
      <c r="F260" s="6">
        <f t="shared" si="15"/>
        <v>0</v>
      </c>
      <c r="G260" s="5"/>
      <c r="H260" s="5"/>
      <c r="I260" s="6">
        <f t="shared" si="16"/>
        <v>0</v>
      </c>
      <c r="L260" s="16"/>
      <c r="M260" s="16"/>
    </row>
    <row r="261" spans="1:13" ht="15">
      <c r="A261" s="15">
        <v>163</v>
      </c>
      <c r="B261" s="15">
        <v>4</v>
      </c>
      <c r="C261" s="29" t="s">
        <v>254</v>
      </c>
      <c r="D261" s="5"/>
      <c r="E261" s="5"/>
      <c r="F261" s="6">
        <f t="shared" si="15"/>
        <v>0</v>
      </c>
      <c r="G261" s="5"/>
      <c r="H261" s="5"/>
      <c r="I261" s="6">
        <f t="shared" si="16"/>
        <v>0</v>
      </c>
      <c r="L261" s="16"/>
      <c r="M261" s="16"/>
    </row>
    <row r="262" spans="1:13" ht="15">
      <c r="A262" s="15">
        <v>164</v>
      </c>
      <c r="B262" s="15">
        <v>5</v>
      </c>
      <c r="C262" s="26" t="s">
        <v>220</v>
      </c>
      <c r="D262" s="5">
        <v>50000</v>
      </c>
      <c r="E262" s="5"/>
      <c r="F262" s="6">
        <f t="shared" si="15"/>
        <v>50000</v>
      </c>
      <c r="G262" s="5"/>
      <c r="H262" s="5"/>
      <c r="I262" s="6">
        <f t="shared" si="16"/>
        <v>0</v>
      </c>
      <c r="M262" s="107"/>
    </row>
    <row r="263" spans="1:9" ht="15">
      <c r="A263" s="15">
        <v>165</v>
      </c>
      <c r="B263" s="15">
        <v>6</v>
      </c>
      <c r="C263" s="26" t="s">
        <v>221</v>
      </c>
      <c r="D263" s="5"/>
      <c r="E263" s="5"/>
      <c r="F263" s="6">
        <f t="shared" si="15"/>
        <v>0</v>
      </c>
      <c r="G263" s="5"/>
      <c r="H263" s="5">
        <f>32000</f>
        <v>32000</v>
      </c>
      <c r="I263" s="6">
        <f t="shared" si="16"/>
        <v>32000</v>
      </c>
    </row>
    <row r="264" spans="1:13" ht="15">
      <c r="A264" s="15">
        <v>166</v>
      </c>
      <c r="B264" s="15">
        <v>7</v>
      </c>
      <c r="C264" s="26" t="s">
        <v>222</v>
      </c>
      <c r="D264" s="5"/>
      <c r="E264" s="5"/>
      <c r="F264" s="6">
        <f t="shared" si="15"/>
        <v>0</v>
      </c>
      <c r="G264" s="5">
        <f>150000+23000</f>
        <v>173000</v>
      </c>
      <c r="H264" s="5"/>
      <c r="I264" s="6">
        <f t="shared" si="16"/>
        <v>173000</v>
      </c>
      <c r="K264" s="81"/>
      <c r="L264" s="82"/>
      <c r="M264" s="82"/>
    </row>
    <row r="265" spans="1:9" ht="15">
      <c r="A265" s="15">
        <v>167</v>
      </c>
      <c r="B265" s="15">
        <v>8</v>
      </c>
      <c r="C265" s="26" t="s">
        <v>223</v>
      </c>
      <c r="D265" s="5"/>
      <c r="E265" s="5">
        <f>500000+200000</f>
        <v>700000</v>
      </c>
      <c r="F265" s="6">
        <f t="shared" si="15"/>
        <v>700000</v>
      </c>
      <c r="G265" s="5"/>
      <c r="H265" s="5">
        <v>1000000</v>
      </c>
      <c r="I265" s="6">
        <f t="shared" si="16"/>
        <v>1000000</v>
      </c>
    </row>
    <row r="266" spans="1:13" ht="15">
      <c r="A266" s="15">
        <v>168</v>
      </c>
      <c r="B266" s="15">
        <v>9</v>
      </c>
      <c r="C266" s="26" t="s">
        <v>256</v>
      </c>
      <c r="D266" s="5"/>
      <c r="E266" s="5"/>
      <c r="F266" s="6">
        <f t="shared" si="15"/>
        <v>0</v>
      </c>
      <c r="G266" s="5"/>
      <c r="H266" s="5"/>
      <c r="I266" s="6">
        <f t="shared" si="16"/>
        <v>0</v>
      </c>
      <c r="L266" s="119"/>
      <c r="M266" s="119"/>
    </row>
    <row r="267" spans="1:13" ht="15">
      <c r="A267" s="15">
        <v>169</v>
      </c>
      <c r="B267" s="15">
        <v>10</v>
      </c>
      <c r="C267" s="28" t="s">
        <v>186</v>
      </c>
      <c r="D267" s="5"/>
      <c r="E267" s="5"/>
      <c r="F267" s="6">
        <f>SUM(D267:E267)</f>
        <v>0</v>
      </c>
      <c r="G267" s="5"/>
      <c r="H267" s="5"/>
      <c r="I267" s="6">
        <f>SUM(G267:H267)</f>
        <v>0</v>
      </c>
      <c r="L267" s="16"/>
      <c r="M267" s="16"/>
    </row>
    <row r="268" spans="1:9" ht="15">
      <c r="A268" s="15">
        <v>170</v>
      </c>
      <c r="B268" s="15">
        <v>11</v>
      </c>
      <c r="C268" s="30" t="s">
        <v>185</v>
      </c>
      <c r="D268" s="5">
        <v>220000</v>
      </c>
      <c r="E268" s="5"/>
      <c r="F268" s="6">
        <f aca="true" t="shared" si="17" ref="F268:F295">SUM(D268:E268)</f>
        <v>220000</v>
      </c>
      <c r="G268" s="5">
        <v>220000</v>
      </c>
      <c r="H268" s="5"/>
      <c r="I268" s="6">
        <f aca="true" t="shared" si="18" ref="I268:I295">SUM(G268:H268)</f>
        <v>220000</v>
      </c>
    </row>
    <row r="269" spans="1:13" ht="15">
      <c r="A269" s="15">
        <v>171</v>
      </c>
      <c r="B269" s="15">
        <v>12</v>
      </c>
      <c r="C269" s="32" t="s">
        <v>308</v>
      </c>
      <c r="D269" s="31">
        <v>200000</v>
      </c>
      <c r="E269" s="27"/>
      <c r="F269" s="6">
        <f t="shared" si="17"/>
        <v>200000</v>
      </c>
      <c r="G269" s="31">
        <v>200000</v>
      </c>
      <c r="H269" s="27"/>
      <c r="I269" s="6">
        <f t="shared" si="18"/>
        <v>200000</v>
      </c>
      <c r="L269" s="16"/>
      <c r="M269" s="16"/>
    </row>
    <row r="270" spans="1:9" ht="15">
      <c r="A270" s="15">
        <v>172</v>
      </c>
      <c r="B270" s="15">
        <v>13</v>
      </c>
      <c r="C270" s="32" t="s">
        <v>309</v>
      </c>
      <c r="D270" s="31">
        <v>80000</v>
      </c>
      <c r="E270" s="27"/>
      <c r="F270" s="6">
        <f t="shared" si="17"/>
        <v>80000</v>
      </c>
      <c r="G270" s="31">
        <v>85000</v>
      </c>
      <c r="H270" s="27"/>
      <c r="I270" s="6">
        <f t="shared" si="18"/>
        <v>85000</v>
      </c>
    </row>
    <row r="271" spans="1:9" ht="15">
      <c r="A271" s="15">
        <v>173</v>
      </c>
      <c r="B271" s="15">
        <v>14</v>
      </c>
      <c r="C271" s="32" t="s">
        <v>355</v>
      </c>
      <c r="D271" s="31">
        <v>175000</v>
      </c>
      <c r="E271" s="27"/>
      <c r="F271" s="6">
        <f t="shared" si="17"/>
        <v>175000</v>
      </c>
      <c r="G271" s="31">
        <v>175000</v>
      </c>
      <c r="H271" s="27"/>
      <c r="I271" s="6">
        <f t="shared" si="18"/>
        <v>175000</v>
      </c>
    </row>
    <row r="272" spans="1:9" ht="15">
      <c r="A272" s="15">
        <v>174</v>
      </c>
      <c r="B272" s="15">
        <v>15</v>
      </c>
      <c r="C272" s="32" t="s">
        <v>377</v>
      </c>
      <c r="D272" s="31">
        <v>253000</v>
      </c>
      <c r="E272" s="27"/>
      <c r="F272" s="6">
        <f t="shared" si="17"/>
        <v>253000</v>
      </c>
      <c r="G272" s="31">
        <v>191000</v>
      </c>
      <c r="H272" s="27"/>
      <c r="I272" s="91">
        <f t="shared" si="18"/>
        <v>191000</v>
      </c>
    </row>
    <row r="273" spans="1:9" ht="15">
      <c r="A273" s="15">
        <v>175</v>
      </c>
      <c r="B273" s="15">
        <v>16</v>
      </c>
      <c r="C273" s="32" t="s">
        <v>408</v>
      </c>
      <c r="D273" s="31"/>
      <c r="E273" s="27"/>
      <c r="F273" s="6">
        <f t="shared" si="17"/>
        <v>0</v>
      </c>
      <c r="G273" s="31"/>
      <c r="H273" s="27"/>
      <c r="I273" s="91">
        <f t="shared" si="18"/>
        <v>0</v>
      </c>
    </row>
    <row r="274" spans="1:9" ht="15">
      <c r="A274" s="15">
        <v>176</v>
      </c>
      <c r="B274" s="15">
        <v>17</v>
      </c>
      <c r="C274" s="32" t="s">
        <v>618</v>
      </c>
      <c r="D274" s="31">
        <v>120000</v>
      </c>
      <c r="E274" s="27"/>
      <c r="F274" s="6">
        <f t="shared" si="17"/>
        <v>120000</v>
      </c>
      <c r="G274" s="31">
        <v>120000</v>
      </c>
      <c r="H274" s="27"/>
      <c r="I274" s="91">
        <f t="shared" si="18"/>
        <v>120000</v>
      </c>
    </row>
    <row r="275" spans="1:9" ht="15">
      <c r="A275" s="15">
        <v>177</v>
      </c>
      <c r="B275" s="15">
        <v>18</v>
      </c>
      <c r="C275" s="32" t="s">
        <v>245</v>
      </c>
      <c r="D275" s="31"/>
      <c r="E275" s="27"/>
      <c r="F275" s="6">
        <f t="shared" si="17"/>
        <v>0</v>
      </c>
      <c r="G275" s="31"/>
      <c r="H275" s="27"/>
      <c r="I275" s="91">
        <f t="shared" si="18"/>
        <v>0</v>
      </c>
    </row>
    <row r="276" spans="1:9" ht="15">
      <c r="A276" s="15">
        <v>178</v>
      </c>
      <c r="B276" s="15">
        <v>19</v>
      </c>
      <c r="C276" s="32" t="s">
        <v>519</v>
      </c>
      <c r="D276" s="31">
        <v>100000</v>
      </c>
      <c r="E276" s="27"/>
      <c r="F276" s="6">
        <f t="shared" si="17"/>
        <v>100000</v>
      </c>
      <c r="G276" s="31">
        <v>100000</v>
      </c>
      <c r="H276" s="27"/>
      <c r="I276" s="91">
        <f t="shared" si="18"/>
        <v>100000</v>
      </c>
    </row>
    <row r="277" spans="1:9" ht="15">
      <c r="A277" s="15">
        <v>179</v>
      </c>
      <c r="B277" s="15">
        <v>20</v>
      </c>
      <c r="C277" s="32" t="s">
        <v>520</v>
      </c>
      <c r="D277" s="31"/>
      <c r="E277" s="27"/>
      <c r="F277" s="6">
        <f t="shared" si="17"/>
        <v>0</v>
      </c>
      <c r="G277" s="31"/>
      <c r="H277" s="27"/>
      <c r="I277" s="91">
        <f t="shared" si="18"/>
        <v>0</v>
      </c>
    </row>
    <row r="278" spans="1:9" ht="15">
      <c r="A278" s="15">
        <v>180</v>
      </c>
      <c r="B278" s="15">
        <v>21</v>
      </c>
      <c r="C278" s="32" t="s">
        <v>521</v>
      </c>
      <c r="D278" s="31"/>
      <c r="E278" s="27"/>
      <c r="F278" s="6">
        <f t="shared" si="17"/>
        <v>0</v>
      </c>
      <c r="G278" s="31"/>
      <c r="H278" s="27"/>
      <c r="I278" s="91">
        <f t="shared" si="18"/>
        <v>0</v>
      </c>
    </row>
    <row r="279" spans="1:9" ht="15">
      <c r="A279" s="15">
        <v>181</v>
      </c>
      <c r="B279" s="15">
        <v>22</v>
      </c>
      <c r="C279" s="32" t="s">
        <v>522</v>
      </c>
      <c r="D279" s="31"/>
      <c r="E279" s="27"/>
      <c r="F279" s="6">
        <f t="shared" si="17"/>
        <v>0</v>
      </c>
      <c r="G279" s="31"/>
      <c r="H279" s="27"/>
      <c r="I279" s="91">
        <f t="shared" si="18"/>
        <v>0</v>
      </c>
    </row>
    <row r="280" spans="1:9" ht="15">
      <c r="A280" s="15">
        <v>182</v>
      </c>
      <c r="B280" s="15">
        <v>23</v>
      </c>
      <c r="C280" s="32" t="s">
        <v>523</v>
      </c>
      <c r="D280" s="31"/>
      <c r="E280" s="27"/>
      <c r="F280" s="6">
        <f t="shared" si="17"/>
        <v>0</v>
      </c>
      <c r="G280" s="31"/>
      <c r="H280" s="27"/>
      <c r="I280" s="91">
        <f t="shared" si="18"/>
        <v>0</v>
      </c>
    </row>
    <row r="281" spans="1:9" ht="15">
      <c r="A281" s="15">
        <v>183</v>
      </c>
      <c r="B281" s="15">
        <v>24</v>
      </c>
      <c r="C281" s="32" t="s">
        <v>526</v>
      </c>
      <c r="D281" s="31"/>
      <c r="E281" s="27">
        <v>966000</v>
      </c>
      <c r="F281" s="6">
        <f t="shared" si="17"/>
        <v>966000</v>
      </c>
      <c r="G281" s="31"/>
      <c r="H281" s="27"/>
      <c r="I281" s="91">
        <f t="shared" si="18"/>
        <v>0</v>
      </c>
    </row>
    <row r="282" spans="1:9" ht="15">
      <c r="A282" s="15">
        <v>184</v>
      </c>
      <c r="B282" s="15">
        <v>25</v>
      </c>
      <c r="C282" s="32" t="s">
        <v>527</v>
      </c>
      <c r="D282" s="31"/>
      <c r="E282" s="27"/>
      <c r="F282" s="6">
        <f t="shared" si="17"/>
        <v>0</v>
      </c>
      <c r="G282" s="31"/>
      <c r="H282" s="27"/>
      <c r="I282" s="91">
        <f t="shared" si="18"/>
        <v>0</v>
      </c>
    </row>
    <row r="283" spans="1:9" ht="15">
      <c r="A283" s="15">
        <v>185</v>
      </c>
      <c r="B283" s="15">
        <v>26</v>
      </c>
      <c r="C283" s="32" t="s">
        <v>528</v>
      </c>
      <c r="D283" s="31"/>
      <c r="E283" s="27">
        <v>30000</v>
      </c>
      <c r="F283" s="6">
        <f t="shared" si="17"/>
        <v>30000</v>
      </c>
      <c r="G283" s="31"/>
      <c r="H283" s="27">
        <v>50000</v>
      </c>
      <c r="I283" s="91">
        <f t="shared" si="18"/>
        <v>50000</v>
      </c>
    </row>
    <row r="284" spans="1:9" ht="15">
      <c r="A284" s="15">
        <v>186</v>
      </c>
      <c r="B284" s="15">
        <v>27</v>
      </c>
      <c r="C284" s="32" t="s">
        <v>529</v>
      </c>
      <c r="D284" s="31"/>
      <c r="E284" s="27">
        <v>25000</v>
      </c>
      <c r="F284" s="6">
        <f t="shared" si="17"/>
        <v>25000</v>
      </c>
      <c r="G284" s="31"/>
      <c r="H284" s="27"/>
      <c r="I284" s="91">
        <f t="shared" si="18"/>
        <v>0</v>
      </c>
    </row>
    <row r="285" spans="1:9" ht="15">
      <c r="A285" s="15">
        <v>187</v>
      </c>
      <c r="B285" s="15">
        <v>28</v>
      </c>
      <c r="C285" s="32" t="s">
        <v>530</v>
      </c>
      <c r="D285" s="31"/>
      <c r="E285" s="27"/>
      <c r="F285" s="6">
        <f t="shared" si="17"/>
        <v>0</v>
      </c>
      <c r="G285" s="31"/>
      <c r="H285" s="27"/>
      <c r="I285" s="91">
        <f t="shared" si="18"/>
        <v>0</v>
      </c>
    </row>
    <row r="286" spans="1:9" ht="15">
      <c r="A286" s="15">
        <v>188</v>
      </c>
      <c r="B286" s="15">
        <v>29</v>
      </c>
      <c r="C286" s="32" t="s">
        <v>573</v>
      </c>
      <c r="D286" s="31"/>
      <c r="E286" s="27"/>
      <c r="F286" s="6">
        <f t="shared" si="17"/>
        <v>0</v>
      </c>
      <c r="G286" s="31"/>
      <c r="H286" s="27"/>
      <c r="I286" s="91">
        <f t="shared" si="18"/>
        <v>0</v>
      </c>
    </row>
    <row r="287" spans="1:9" ht="15">
      <c r="A287" s="15">
        <v>189</v>
      </c>
      <c r="B287" s="15">
        <v>30</v>
      </c>
      <c r="C287" s="32" t="s">
        <v>576</v>
      </c>
      <c r="D287" s="31"/>
      <c r="E287" s="27"/>
      <c r="F287" s="6">
        <f t="shared" si="17"/>
        <v>0</v>
      </c>
      <c r="G287" s="31"/>
      <c r="H287" s="27">
        <v>723000</v>
      </c>
      <c r="I287" s="91">
        <f t="shared" si="18"/>
        <v>723000</v>
      </c>
    </row>
    <row r="288" spans="1:9" ht="15">
      <c r="A288" s="15">
        <v>190</v>
      </c>
      <c r="B288" s="15">
        <v>31</v>
      </c>
      <c r="C288" s="32" t="s">
        <v>615</v>
      </c>
      <c r="D288" s="31">
        <v>200000</v>
      </c>
      <c r="E288" s="27"/>
      <c r="F288" s="6">
        <f t="shared" si="17"/>
        <v>200000</v>
      </c>
      <c r="G288" s="31"/>
      <c r="H288" s="27"/>
      <c r="I288" s="91">
        <f t="shared" si="18"/>
        <v>0</v>
      </c>
    </row>
    <row r="289" spans="1:9" ht="15">
      <c r="A289" s="15">
        <v>191</v>
      </c>
      <c r="B289" s="15">
        <v>32</v>
      </c>
      <c r="C289" s="32" t="s">
        <v>616</v>
      </c>
      <c r="D289" s="31">
        <v>200000</v>
      </c>
      <c r="E289" s="27"/>
      <c r="F289" s="6">
        <f t="shared" si="17"/>
        <v>200000</v>
      </c>
      <c r="G289" s="31"/>
      <c r="H289" s="27"/>
      <c r="I289" s="91">
        <f t="shared" si="18"/>
        <v>0</v>
      </c>
    </row>
    <row r="290" spans="1:9" ht="15">
      <c r="A290" s="15">
        <v>192</v>
      </c>
      <c r="B290" s="15">
        <v>33</v>
      </c>
      <c r="C290" s="32" t="s">
        <v>310</v>
      </c>
      <c r="D290" s="31">
        <v>200000</v>
      </c>
      <c r="E290" s="27"/>
      <c r="F290" s="6">
        <f t="shared" si="17"/>
        <v>200000</v>
      </c>
      <c r="G290" s="31"/>
      <c r="H290" s="27"/>
      <c r="I290" s="91">
        <f t="shared" si="18"/>
        <v>0</v>
      </c>
    </row>
    <row r="291" spans="1:9" ht="15">
      <c r="A291" s="15">
        <v>193</v>
      </c>
      <c r="B291" s="15">
        <v>34</v>
      </c>
      <c r="C291" s="32" t="s">
        <v>181</v>
      </c>
      <c r="D291" s="31">
        <v>55000</v>
      </c>
      <c r="E291" s="27"/>
      <c r="F291" s="6">
        <f t="shared" si="17"/>
        <v>55000</v>
      </c>
      <c r="G291" s="31"/>
      <c r="H291" s="27"/>
      <c r="I291" s="91">
        <f t="shared" si="18"/>
        <v>0</v>
      </c>
    </row>
    <row r="292" spans="1:9" ht="15">
      <c r="A292" s="15">
        <v>194</v>
      </c>
      <c r="B292" s="15">
        <v>35</v>
      </c>
      <c r="C292" s="32" t="s">
        <v>183</v>
      </c>
      <c r="D292" s="31"/>
      <c r="E292" s="27">
        <v>75000</v>
      </c>
      <c r="F292" s="6">
        <f t="shared" si="17"/>
        <v>75000</v>
      </c>
      <c r="G292" s="31">
        <v>50000</v>
      </c>
      <c r="H292" s="27"/>
      <c r="I292" s="91">
        <f t="shared" si="18"/>
        <v>50000</v>
      </c>
    </row>
    <row r="293" spans="1:9" ht="15">
      <c r="A293" s="15">
        <v>195</v>
      </c>
      <c r="B293" s="15">
        <v>36</v>
      </c>
      <c r="C293" s="32" t="s">
        <v>693</v>
      </c>
      <c r="D293" s="31"/>
      <c r="E293" s="27"/>
      <c r="F293" s="6">
        <f t="shared" si="17"/>
        <v>0</v>
      </c>
      <c r="G293" s="31"/>
      <c r="H293" s="27">
        <v>100000</v>
      </c>
      <c r="I293" s="91">
        <f t="shared" si="18"/>
        <v>100000</v>
      </c>
    </row>
    <row r="294" spans="1:9" ht="15">
      <c r="A294" s="15">
        <v>196</v>
      </c>
      <c r="B294" s="15">
        <v>37</v>
      </c>
      <c r="C294" s="32" t="s">
        <v>694</v>
      </c>
      <c r="D294" s="31"/>
      <c r="E294" s="27"/>
      <c r="F294" s="6">
        <f t="shared" si="17"/>
        <v>0</v>
      </c>
      <c r="G294" s="31">
        <v>1000000</v>
      </c>
      <c r="H294" s="27"/>
      <c r="I294" s="91">
        <f t="shared" si="18"/>
        <v>1000000</v>
      </c>
    </row>
    <row r="295" spans="1:9" ht="15">
      <c r="A295" s="15">
        <v>197</v>
      </c>
      <c r="B295" s="15">
        <v>38</v>
      </c>
      <c r="C295" s="32" t="s">
        <v>695</v>
      </c>
      <c r="D295" s="31"/>
      <c r="E295" s="27"/>
      <c r="F295" s="6">
        <f t="shared" si="17"/>
        <v>0</v>
      </c>
      <c r="G295" s="31">
        <v>200000</v>
      </c>
      <c r="H295" s="27"/>
      <c r="I295" s="91">
        <f t="shared" si="18"/>
        <v>200000</v>
      </c>
    </row>
    <row r="296" spans="1:9" ht="15.75" thickBot="1">
      <c r="A296" s="253" t="s">
        <v>42</v>
      </c>
      <c r="B296" s="254"/>
      <c r="C296" s="255"/>
      <c r="D296" s="33">
        <f>SUM(D258:D295)</f>
        <v>10035415</v>
      </c>
      <c r="E296" s="33">
        <f>SUM(E258:E295)</f>
        <v>19173160</v>
      </c>
      <c r="F296" s="33">
        <f>SUM(D296:E296)</f>
        <v>29208575</v>
      </c>
      <c r="G296" s="33">
        <f>SUM(G258:G295)</f>
        <v>4626200</v>
      </c>
      <c r="H296" s="33">
        <f>SUM(H258:H295)</f>
        <v>3099050</v>
      </c>
      <c r="I296" s="33">
        <f>SUM(G296:H296)</f>
        <v>7725250</v>
      </c>
    </row>
    <row r="297" spans="1:9" ht="16.5" thickBot="1" thickTop="1">
      <c r="A297" s="237" t="s">
        <v>190</v>
      </c>
      <c r="B297" s="238"/>
      <c r="C297" s="238"/>
      <c r="D297" s="34">
        <f>D296++D256+D253+D249+D245+D186+D161+D139+D117+D114+D111+D88+D78+D75+D72</f>
        <v>126003824</v>
      </c>
      <c r="E297" s="34">
        <f>E296++E256+E253+E249+E245+E186+E161+E139+E117+E114+E111+E88+E78+E75+E72</f>
        <v>63706027</v>
      </c>
      <c r="F297" s="34">
        <f>SUM(D297:E297)</f>
        <v>189709851</v>
      </c>
      <c r="G297" s="34">
        <f>G296+G256+G253+G249+G245+G186+G161+G139+G117+G114+G111+G88+G78+G75+G72</f>
        <v>89512953</v>
      </c>
      <c r="H297" s="34">
        <f>H296+H256+H253+H249+H245+H186+H161+H139+H117+H114+H111+H88+H78+H75+H72</f>
        <v>46046080</v>
      </c>
      <c r="I297" s="34">
        <f>SUM(G297:H297)</f>
        <v>135559033</v>
      </c>
    </row>
    <row r="298" spans="1:13" ht="15.75" thickTop="1">
      <c r="A298" s="35"/>
      <c r="B298" s="35"/>
      <c r="C298" s="35"/>
      <c r="D298" s="36"/>
      <c r="E298" s="36"/>
      <c r="F298" s="36"/>
      <c r="G298" s="36"/>
      <c r="H298" s="36"/>
      <c r="I298" s="36"/>
      <c r="J298" s="37"/>
      <c r="L298" s="105"/>
      <c r="M298" s="105"/>
    </row>
    <row r="299" spans="1:13" ht="15">
      <c r="A299" s="39"/>
      <c r="B299" s="39"/>
      <c r="C299" s="39"/>
      <c r="D299" s="38"/>
      <c r="E299" s="38"/>
      <c r="F299" s="240" t="s">
        <v>662</v>
      </c>
      <c r="G299" s="240"/>
      <c r="H299" s="240"/>
      <c r="I299" s="240"/>
      <c r="L299" s="105"/>
      <c r="M299" s="105"/>
    </row>
    <row r="300" spans="1:13" ht="15">
      <c r="A300" s="39"/>
      <c r="B300" s="39"/>
      <c r="C300" s="38" t="s">
        <v>199</v>
      </c>
      <c r="D300" s="38"/>
      <c r="E300" s="38"/>
      <c r="F300" s="240" t="s">
        <v>349</v>
      </c>
      <c r="G300" s="240"/>
      <c r="H300" s="240"/>
      <c r="I300" s="240"/>
      <c r="L300" s="105"/>
      <c r="M300" s="105"/>
    </row>
    <row r="301" spans="1:13" ht="15">
      <c r="A301" s="39"/>
      <c r="B301" s="39"/>
      <c r="C301" s="39"/>
      <c r="D301" s="39"/>
      <c r="E301" s="39"/>
      <c r="G301" s="39"/>
      <c r="H301" s="39"/>
      <c r="L301" s="105"/>
      <c r="M301" s="105"/>
    </row>
    <row r="302" spans="1:13" ht="15">
      <c r="A302" s="39"/>
      <c r="B302" s="61"/>
      <c r="C302" s="272" t="s">
        <v>866</v>
      </c>
      <c r="D302" s="39"/>
      <c r="E302" s="39"/>
      <c r="G302" s="270" t="s">
        <v>866</v>
      </c>
      <c r="H302" s="39"/>
      <c r="L302" s="105"/>
      <c r="M302" s="105"/>
    </row>
    <row r="303" spans="1:13" ht="15">
      <c r="A303" s="39"/>
      <c r="B303" s="61"/>
      <c r="C303" s="38" t="s">
        <v>269</v>
      </c>
      <c r="D303" s="62"/>
      <c r="E303" s="62"/>
      <c r="F303" s="240" t="s">
        <v>350</v>
      </c>
      <c r="G303" s="240"/>
      <c r="H303" s="240"/>
      <c r="I303" s="240"/>
      <c r="L303" s="105"/>
      <c r="M303" s="105"/>
    </row>
    <row r="304" spans="1:12" ht="15">
      <c r="A304" s="35"/>
      <c r="B304" s="35"/>
      <c r="C304" s="35"/>
      <c r="D304" s="36"/>
      <c r="E304" s="36"/>
      <c r="F304" s="36"/>
      <c r="G304" s="36"/>
      <c r="H304" s="36"/>
      <c r="I304" s="36"/>
      <c r="J304" s="37"/>
      <c r="L304" s="16"/>
    </row>
    <row r="305" spans="1:9" ht="15">
      <c r="A305" s="240" t="s">
        <v>191</v>
      </c>
      <c r="B305" s="240"/>
      <c r="C305" s="240"/>
      <c r="D305" s="240"/>
      <c r="E305" s="240"/>
      <c r="F305" s="240"/>
      <c r="G305" s="240"/>
      <c r="H305" s="240"/>
      <c r="I305" s="240"/>
    </row>
    <row r="306" spans="1:9" ht="15">
      <c r="A306" s="240" t="s">
        <v>663</v>
      </c>
      <c r="B306" s="240"/>
      <c r="C306" s="240"/>
      <c r="D306" s="240"/>
      <c r="E306" s="240"/>
      <c r="F306" s="240"/>
      <c r="G306" s="240"/>
      <c r="H306" s="240"/>
      <c r="I306" s="240"/>
    </row>
    <row r="307" spans="1:9" ht="15">
      <c r="A307" s="38" t="s">
        <v>192</v>
      </c>
      <c r="B307" s="72" t="s">
        <v>195</v>
      </c>
      <c r="C307" s="38"/>
      <c r="D307" s="38"/>
      <c r="E307" s="38"/>
      <c r="F307" s="38"/>
      <c r="G307" s="38"/>
      <c r="H307" s="38"/>
      <c r="I307" s="38"/>
    </row>
    <row r="308" spans="1:9" ht="15">
      <c r="A308" s="40"/>
      <c r="B308" s="243" t="s">
        <v>2</v>
      </c>
      <c r="C308" s="247" t="s">
        <v>193</v>
      </c>
      <c r="D308" s="248"/>
      <c r="E308" s="248"/>
      <c r="F308" s="248"/>
      <c r="G308" s="248"/>
      <c r="H308" s="249"/>
      <c r="I308" s="85" t="s">
        <v>42</v>
      </c>
    </row>
    <row r="309" spans="1:9" ht="15">
      <c r="A309" s="39"/>
      <c r="B309" s="244"/>
      <c r="C309" s="250"/>
      <c r="D309" s="251"/>
      <c r="E309" s="251"/>
      <c r="F309" s="251"/>
      <c r="G309" s="251"/>
      <c r="H309" s="252"/>
      <c r="I309" s="84" t="s">
        <v>194</v>
      </c>
    </row>
    <row r="310" spans="1:9" ht="15">
      <c r="A310" s="39"/>
      <c r="B310" s="70">
        <v>1</v>
      </c>
      <c r="C310" s="45" t="s">
        <v>339</v>
      </c>
      <c r="D310" s="60"/>
      <c r="E310" s="60"/>
      <c r="F310" s="69"/>
      <c r="G310" s="60"/>
      <c r="H310" s="60"/>
      <c r="I310" s="59"/>
    </row>
    <row r="311" spans="1:10" ht="15">
      <c r="A311" s="39"/>
      <c r="B311" s="70"/>
      <c r="C311" s="45" t="s">
        <v>665</v>
      </c>
      <c r="D311" s="60"/>
      <c r="E311" s="60"/>
      <c r="F311" s="69"/>
      <c r="G311" s="60"/>
      <c r="H311" s="60"/>
      <c r="I311" s="99">
        <v>6565900</v>
      </c>
      <c r="J311" s="105"/>
    </row>
    <row r="312" spans="1:11" ht="15">
      <c r="A312" s="39"/>
      <c r="B312" s="70">
        <v>2</v>
      </c>
      <c r="C312" s="45" t="s">
        <v>675</v>
      </c>
      <c r="D312" s="60"/>
      <c r="E312" s="60"/>
      <c r="F312" s="69"/>
      <c r="G312" s="60"/>
      <c r="H312" s="60"/>
      <c r="I312" s="99">
        <v>1000000</v>
      </c>
      <c r="J312" s="105"/>
      <c r="K312" s="88"/>
    </row>
    <row r="313" spans="1:10" ht="15">
      <c r="A313" s="39"/>
      <c r="B313" s="70">
        <v>3</v>
      </c>
      <c r="C313" s="45" t="s">
        <v>891</v>
      </c>
      <c r="D313" s="60"/>
      <c r="E313" s="60"/>
      <c r="F313" s="69"/>
      <c r="G313" s="60"/>
      <c r="H313" s="60"/>
      <c r="I313" s="99"/>
      <c r="J313" s="105"/>
    </row>
    <row r="314" spans="1:12" ht="15">
      <c r="A314" s="39"/>
      <c r="B314" s="70"/>
      <c r="C314" s="45" t="s">
        <v>678</v>
      </c>
      <c r="D314" s="60"/>
      <c r="E314" s="60"/>
      <c r="F314" s="69"/>
      <c r="G314" s="60"/>
      <c r="H314" s="60"/>
      <c r="I314" s="99">
        <v>950000</v>
      </c>
      <c r="J314" s="105"/>
      <c r="L314" s="88"/>
    </row>
    <row r="315" spans="1:12" ht="15">
      <c r="A315" s="39"/>
      <c r="B315" s="70">
        <v>4</v>
      </c>
      <c r="C315" s="45" t="s">
        <v>580</v>
      </c>
      <c r="D315" s="60"/>
      <c r="E315" s="60"/>
      <c r="F315" s="69"/>
      <c r="G315" s="60"/>
      <c r="H315" s="60"/>
      <c r="I315" s="99"/>
      <c r="J315" s="105"/>
      <c r="L315" s="88"/>
    </row>
    <row r="316" spans="1:10" ht="15">
      <c r="A316" s="39"/>
      <c r="B316" s="70"/>
      <c r="C316" s="45" t="s">
        <v>682</v>
      </c>
      <c r="D316" s="60"/>
      <c r="E316" s="60"/>
      <c r="F316" s="69"/>
      <c r="G316" s="60"/>
      <c r="H316" s="60"/>
      <c r="I316" s="99">
        <f>66*1000000</f>
        <v>66000000</v>
      </c>
      <c r="J316" s="105"/>
    </row>
    <row r="317" spans="1:10" ht="15">
      <c r="A317" s="39"/>
      <c r="B317" s="41">
        <v>5</v>
      </c>
      <c r="C317" s="45" t="s">
        <v>892</v>
      </c>
      <c r="D317" s="42"/>
      <c r="E317" s="42"/>
      <c r="F317" s="63"/>
      <c r="G317" s="42"/>
      <c r="H317" s="42"/>
      <c r="I317" s="92"/>
      <c r="J317" s="105"/>
    </row>
    <row r="318" spans="1:10" ht="15">
      <c r="A318" s="39"/>
      <c r="B318" s="41"/>
      <c r="C318" s="45" t="s">
        <v>681</v>
      </c>
      <c r="D318" s="42"/>
      <c r="E318" s="42"/>
      <c r="F318" s="63"/>
      <c r="G318" s="42"/>
      <c r="H318" s="42"/>
      <c r="I318" s="92">
        <f>3000000*69</f>
        <v>207000000</v>
      </c>
      <c r="J318" s="105"/>
    </row>
    <row r="319" spans="1:10" ht="15">
      <c r="A319" s="39"/>
      <c r="B319" s="70">
        <v>6</v>
      </c>
      <c r="C319" s="45" t="s">
        <v>683</v>
      </c>
      <c r="D319" s="42"/>
      <c r="E319" s="42"/>
      <c r="F319" s="63"/>
      <c r="G319" s="42"/>
      <c r="H319" s="42"/>
      <c r="I319" s="92"/>
      <c r="J319" s="105"/>
    </row>
    <row r="320" spans="1:10" ht="15">
      <c r="A320" s="39"/>
      <c r="B320" s="70"/>
      <c r="C320" s="45" t="s">
        <v>893</v>
      </c>
      <c r="D320" s="42"/>
      <c r="E320" s="42"/>
      <c r="F320" s="63"/>
      <c r="G320" s="42"/>
      <c r="H320" s="42"/>
      <c r="I320" s="92">
        <v>4450000</v>
      </c>
      <c r="J320" s="105"/>
    </row>
    <row r="321" spans="1:10" ht="15">
      <c r="A321" s="39"/>
      <c r="B321" s="70">
        <v>7</v>
      </c>
      <c r="C321" s="51" t="s">
        <v>563</v>
      </c>
      <c r="D321" s="52"/>
      <c r="E321" s="52"/>
      <c r="F321" s="68"/>
      <c r="G321" s="76"/>
      <c r="H321" s="77"/>
      <c r="I321" s="92">
        <f>2000000+76500+35700</f>
        <v>2112200</v>
      </c>
      <c r="J321" s="105"/>
    </row>
    <row r="322" spans="1:10" ht="15">
      <c r="A322" s="56"/>
      <c r="B322" s="241" t="s">
        <v>5</v>
      </c>
      <c r="C322" s="245"/>
      <c r="D322" s="245"/>
      <c r="E322" s="245"/>
      <c r="F322" s="66"/>
      <c r="G322" s="66"/>
      <c r="H322" s="67"/>
      <c r="I322" s="57">
        <f>SUM(I311:I321)</f>
        <v>288078100</v>
      </c>
      <c r="J322" s="115"/>
    </row>
    <row r="323" spans="1:9" ht="15">
      <c r="A323" s="58"/>
      <c r="B323" s="58"/>
      <c r="C323" s="58"/>
      <c r="D323" s="58"/>
      <c r="E323" s="58"/>
      <c r="F323" s="58"/>
      <c r="G323" s="73"/>
      <c r="H323" s="73"/>
      <c r="I323" s="58"/>
    </row>
    <row r="324" spans="1:9" ht="15">
      <c r="A324" s="74" t="s">
        <v>196</v>
      </c>
      <c r="B324" s="75" t="s">
        <v>197</v>
      </c>
      <c r="C324" s="75"/>
      <c r="D324" s="58"/>
      <c r="E324" s="58"/>
      <c r="F324" s="58"/>
      <c r="G324" s="58"/>
      <c r="H324" s="58"/>
      <c r="I324" s="58"/>
    </row>
    <row r="325" spans="1:9" ht="15">
      <c r="A325" s="40"/>
      <c r="B325" s="243" t="s">
        <v>2</v>
      </c>
      <c r="C325" s="248" t="s">
        <v>193</v>
      </c>
      <c r="D325" s="248"/>
      <c r="E325" s="248"/>
      <c r="F325" s="248"/>
      <c r="G325" s="248"/>
      <c r="H325" s="249"/>
      <c r="I325" s="85" t="s">
        <v>42</v>
      </c>
    </row>
    <row r="326" spans="1:9" ht="15">
      <c r="A326" s="58"/>
      <c r="B326" s="244"/>
      <c r="C326" s="251"/>
      <c r="D326" s="251"/>
      <c r="E326" s="251"/>
      <c r="F326" s="251"/>
      <c r="G326" s="251"/>
      <c r="H326" s="252"/>
      <c r="I326" s="84" t="s">
        <v>194</v>
      </c>
    </row>
    <row r="327" spans="1:9" ht="15">
      <c r="A327" s="58"/>
      <c r="B327" s="70">
        <v>1</v>
      </c>
      <c r="C327" s="45" t="s">
        <v>592</v>
      </c>
      <c r="D327" s="42"/>
      <c r="E327" s="42"/>
      <c r="F327" s="69"/>
      <c r="G327" s="42"/>
      <c r="H327" s="42"/>
      <c r="I327" s="99"/>
    </row>
    <row r="328" spans="1:10" ht="15">
      <c r="A328" s="58"/>
      <c r="B328" s="70"/>
      <c r="C328" s="45" t="s">
        <v>664</v>
      </c>
      <c r="D328" s="42"/>
      <c r="E328" s="42"/>
      <c r="F328" s="69"/>
      <c r="G328" s="42"/>
      <c r="H328" s="42"/>
      <c r="I328" s="106">
        <v>1740717</v>
      </c>
      <c r="J328" s="88"/>
    </row>
    <row r="329" spans="1:12" ht="15">
      <c r="A329" s="58"/>
      <c r="B329" s="70"/>
      <c r="C329" s="45" t="s">
        <v>666</v>
      </c>
      <c r="D329" s="42"/>
      <c r="E329" s="42"/>
      <c r="F329" s="69"/>
      <c r="G329" s="42"/>
      <c r="H329" s="42"/>
      <c r="I329" s="99">
        <v>406800</v>
      </c>
      <c r="J329" s="88"/>
      <c r="L329" s="88"/>
    </row>
    <row r="330" spans="1:12" ht="15">
      <c r="A330" s="58"/>
      <c r="B330" s="70"/>
      <c r="C330" s="45" t="s">
        <v>676</v>
      </c>
      <c r="D330" s="42"/>
      <c r="E330" s="42"/>
      <c r="F330" s="69"/>
      <c r="G330" s="42"/>
      <c r="H330" s="42"/>
      <c r="I330" s="99">
        <v>805750</v>
      </c>
      <c r="J330" s="88"/>
      <c r="L330" s="88"/>
    </row>
    <row r="331" spans="1:10" ht="15">
      <c r="A331" s="58"/>
      <c r="B331" s="70"/>
      <c r="C331" s="45" t="s">
        <v>684</v>
      </c>
      <c r="D331" s="42"/>
      <c r="E331" s="42"/>
      <c r="F331" s="69"/>
      <c r="G331" s="42"/>
      <c r="H331" s="42"/>
      <c r="I331" s="99">
        <v>300000</v>
      </c>
      <c r="J331" s="88"/>
    </row>
    <row r="332" spans="1:10" ht="15">
      <c r="A332" s="58"/>
      <c r="B332" s="70">
        <v>2</v>
      </c>
      <c r="C332" s="45" t="s">
        <v>539</v>
      </c>
      <c r="D332" s="60"/>
      <c r="E332" s="60"/>
      <c r="F332" s="69"/>
      <c r="G332" s="60"/>
      <c r="H332" s="60"/>
      <c r="I332" s="99"/>
      <c r="J332" s="88"/>
    </row>
    <row r="333" spans="1:10" ht="15">
      <c r="A333" s="58"/>
      <c r="B333" s="70"/>
      <c r="C333" s="45" t="s">
        <v>689</v>
      </c>
      <c r="D333" s="60"/>
      <c r="E333" s="60"/>
      <c r="F333" s="69"/>
      <c r="G333" s="60"/>
      <c r="H333" s="60"/>
      <c r="I333" s="99">
        <f>2704000-3500</f>
        <v>2700500</v>
      </c>
      <c r="J333" s="88"/>
    </row>
    <row r="334" spans="1:10" ht="15">
      <c r="A334" s="58"/>
      <c r="B334" s="70">
        <v>3</v>
      </c>
      <c r="C334" s="45" t="s">
        <v>390</v>
      </c>
      <c r="D334" s="60"/>
      <c r="E334" s="60"/>
      <c r="F334" s="69"/>
      <c r="G334" s="60"/>
      <c r="H334" s="60"/>
      <c r="I334" s="99"/>
      <c r="J334" s="88"/>
    </row>
    <row r="335" spans="1:10" ht="15">
      <c r="A335" s="58"/>
      <c r="B335" s="70"/>
      <c r="C335" s="45" t="s">
        <v>686</v>
      </c>
      <c r="D335" s="60"/>
      <c r="E335" s="60"/>
      <c r="F335" s="69"/>
      <c r="G335" s="60"/>
      <c r="H335" s="60"/>
      <c r="I335" s="99">
        <v>500000</v>
      </c>
      <c r="J335" s="88"/>
    </row>
    <row r="336" spans="1:13" ht="15">
      <c r="A336" s="58"/>
      <c r="B336" s="70"/>
      <c r="C336" s="45" t="s">
        <v>679</v>
      </c>
      <c r="D336" s="60"/>
      <c r="E336" s="60"/>
      <c r="F336" s="69"/>
      <c r="G336" s="60"/>
      <c r="H336" s="60"/>
      <c r="I336" s="99">
        <v>300000</v>
      </c>
      <c r="J336" s="88"/>
      <c r="L336" s="16"/>
      <c r="M336" s="16"/>
    </row>
    <row r="337" spans="1:13" ht="15">
      <c r="A337" s="58"/>
      <c r="B337" s="70"/>
      <c r="C337" s="45" t="s">
        <v>680</v>
      </c>
      <c r="D337" s="60"/>
      <c r="E337" s="60"/>
      <c r="F337" s="69"/>
      <c r="G337" s="60"/>
      <c r="H337" s="60"/>
      <c r="I337" s="99"/>
      <c r="J337" s="88"/>
      <c r="L337" s="16"/>
      <c r="M337" s="16"/>
    </row>
    <row r="338" spans="1:13" ht="15">
      <c r="A338" s="58"/>
      <c r="B338" s="70"/>
      <c r="C338" s="45" t="s">
        <v>687</v>
      </c>
      <c r="D338" s="60"/>
      <c r="E338" s="60"/>
      <c r="F338" s="69"/>
      <c r="G338" s="60"/>
      <c r="H338" s="60"/>
      <c r="I338" s="99">
        <v>1500000</v>
      </c>
      <c r="J338" s="88"/>
      <c r="L338" s="16"/>
      <c r="M338" s="16"/>
    </row>
    <row r="339" spans="1:13" ht="15">
      <c r="A339" s="58"/>
      <c r="B339" s="70"/>
      <c r="C339" s="45" t="s">
        <v>688</v>
      </c>
      <c r="D339" s="60"/>
      <c r="E339" s="60"/>
      <c r="F339" s="69"/>
      <c r="G339" s="60"/>
      <c r="H339" s="60"/>
      <c r="I339" s="99">
        <v>2000000</v>
      </c>
      <c r="J339" s="88"/>
      <c r="L339" s="16"/>
      <c r="M339" s="16"/>
    </row>
    <row r="340" spans="1:13" ht="15">
      <c r="A340" s="58"/>
      <c r="B340" s="70">
        <v>4</v>
      </c>
      <c r="C340" s="45" t="s">
        <v>509</v>
      </c>
      <c r="D340" s="60"/>
      <c r="E340" s="60"/>
      <c r="F340" s="69"/>
      <c r="G340" s="60"/>
      <c r="H340" s="60"/>
      <c r="I340" s="99"/>
      <c r="J340" s="88"/>
      <c r="L340" s="16"/>
      <c r="M340" s="16"/>
    </row>
    <row r="341" spans="1:13" ht="15">
      <c r="A341" s="58"/>
      <c r="B341" s="70"/>
      <c r="C341" s="45" t="s">
        <v>674</v>
      </c>
      <c r="D341" s="60"/>
      <c r="E341" s="60"/>
      <c r="F341" s="69"/>
      <c r="G341" s="60"/>
      <c r="H341" s="60"/>
      <c r="I341" s="99">
        <v>700000</v>
      </c>
      <c r="J341" s="88"/>
      <c r="L341" s="16"/>
      <c r="M341" s="16"/>
    </row>
    <row r="342" spans="1:13" ht="15">
      <c r="A342" s="58"/>
      <c r="B342" s="70"/>
      <c r="C342" s="45" t="s">
        <v>685</v>
      </c>
      <c r="D342" s="60"/>
      <c r="E342" s="60"/>
      <c r="F342" s="69"/>
      <c r="G342" s="60"/>
      <c r="H342" s="60"/>
      <c r="I342" s="99">
        <v>3500000</v>
      </c>
      <c r="J342" s="88"/>
      <c r="L342" s="16"/>
      <c r="M342" s="16"/>
    </row>
    <row r="343" spans="1:10" ht="15">
      <c r="A343" s="58"/>
      <c r="B343" s="70">
        <v>5</v>
      </c>
      <c r="C343" s="45" t="s">
        <v>599</v>
      </c>
      <c r="D343" s="60"/>
      <c r="E343" s="60"/>
      <c r="F343" s="69"/>
      <c r="G343" s="60"/>
      <c r="H343" s="60"/>
      <c r="I343" s="99"/>
      <c r="J343" s="88"/>
    </row>
    <row r="344" spans="1:10" ht="15">
      <c r="A344" s="58"/>
      <c r="B344" s="70"/>
      <c r="C344" s="45" t="s">
        <v>677</v>
      </c>
      <c r="D344" s="60"/>
      <c r="E344" s="60"/>
      <c r="F344" s="69"/>
      <c r="G344" s="60"/>
      <c r="H344" s="60"/>
      <c r="I344" s="99"/>
      <c r="J344" s="88"/>
    </row>
    <row r="345" spans="1:10" ht="15">
      <c r="A345" s="58"/>
      <c r="B345" s="70"/>
      <c r="C345" s="45" t="s">
        <v>691</v>
      </c>
      <c r="D345" s="60"/>
      <c r="E345" s="60"/>
      <c r="F345" s="69"/>
      <c r="G345" s="60"/>
      <c r="H345" s="60"/>
      <c r="I345" s="99">
        <v>705000</v>
      </c>
      <c r="J345" s="88"/>
    </row>
    <row r="346" spans="1:10" ht="15">
      <c r="A346" s="58"/>
      <c r="B346" s="70"/>
      <c r="C346" s="45" t="s">
        <v>628</v>
      </c>
      <c r="D346" s="60"/>
      <c r="E346" s="60"/>
      <c r="F346" s="69"/>
      <c r="G346" s="60"/>
      <c r="H346" s="60"/>
      <c r="I346" s="99">
        <v>500000</v>
      </c>
      <c r="J346" s="88"/>
    </row>
    <row r="347" spans="1:12" ht="15">
      <c r="A347" s="58"/>
      <c r="B347" s="70"/>
      <c r="C347" s="45" t="s">
        <v>690</v>
      </c>
      <c r="D347" s="60"/>
      <c r="E347" s="60"/>
      <c r="F347" s="69"/>
      <c r="G347" s="60"/>
      <c r="H347" s="60"/>
      <c r="I347" s="99">
        <v>1000000</v>
      </c>
      <c r="J347" s="88"/>
      <c r="K347" s="88"/>
      <c r="L347" s="88"/>
    </row>
    <row r="348" spans="1:10" ht="15">
      <c r="A348" s="58"/>
      <c r="B348" s="70"/>
      <c r="C348" s="45" t="s">
        <v>692</v>
      </c>
      <c r="D348" s="60"/>
      <c r="E348" s="60"/>
      <c r="F348" s="69"/>
      <c r="G348" s="60"/>
      <c r="H348" s="60"/>
      <c r="I348" s="99"/>
      <c r="J348" s="88"/>
    </row>
    <row r="349" spans="1:10" ht="15">
      <c r="A349" s="58"/>
      <c r="B349" s="70"/>
      <c r="C349" s="122" t="s">
        <v>669</v>
      </c>
      <c r="D349" s="123"/>
      <c r="E349" s="124"/>
      <c r="F349" s="124" t="s">
        <v>667</v>
      </c>
      <c r="G349" s="120"/>
      <c r="H349" s="121"/>
      <c r="I349" s="99">
        <v>5325000</v>
      </c>
      <c r="J349" s="88"/>
    </row>
    <row r="350" spans="1:10" ht="15">
      <c r="A350" s="58"/>
      <c r="B350" s="70"/>
      <c r="C350" s="122" t="s">
        <v>670</v>
      </c>
      <c r="D350" s="123"/>
      <c r="E350" s="124"/>
      <c r="F350" s="124" t="s">
        <v>668</v>
      </c>
      <c r="G350" s="120"/>
      <c r="H350" s="121"/>
      <c r="I350" s="99">
        <v>6900000</v>
      </c>
      <c r="J350" s="88"/>
    </row>
    <row r="351" spans="1:10" ht="15">
      <c r="A351" s="58"/>
      <c r="B351" s="70"/>
      <c r="C351" s="122" t="s">
        <v>671</v>
      </c>
      <c r="D351" s="123"/>
      <c r="E351" s="124"/>
      <c r="F351" s="124" t="s">
        <v>667</v>
      </c>
      <c r="G351" s="120"/>
      <c r="H351" s="121"/>
      <c r="I351" s="99">
        <v>780000</v>
      </c>
      <c r="J351" s="88"/>
    </row>
    <row r="352" spans="1:11" ht="15">
      <c r="A352" s="58"/>
      <c r="B352" s="70"/>
      <c r="C352" s="122" t="s">
        <v>672</v>
      </c>
      <c r="D352" s="123"/>
      <c r="E352" s="124"/>
      <c r="F352" s="124" t="s">
        <v>667</v>
      </c>
      <c r="G352" s="120"/>
      <c r="H352" s="121"/>
      <c r="I352" s="99">
        <v>5700000</v>
      </c>
      <c r="J352" s="88"/>
      <c r="K352" s="88"/>
    </row>
    <row r="353" spans="1:10" ht="15">
      <c r="A353" s="58"/>
      <c r="B353" s="70"/>
      <c r="C353" s="125" t="s">
        <v>673</v>
      </c>
      <c r="D353" s="123"/>
      <c r="E353" s="124"/>
      <c r="F353" s="124" t="s">
        <v>667</v>
      </c>
      <c r="G353" s="120"/>
      <c r="H353" s="121"/>
      <c r="I353" s="99">
        <v>4250000</v>
      </c>
      <c r="J353" s="88"/>
    </row>
    <row r="354" spans="1:12" ht="15">
      <c r="A354" s="58"/>
      <c r="B354" s="70">
        <v>6</v>
      </c>
      <c r="C354" s="46" t="s">
        <v>563</v>
      </c>
      <c r="D354" s="60"/>
      <c r="E354" s="60"/>
      <c r="F354" s="69"/>
      <c r="G354" s="60"/>
      <c r="H354" s="60"/>
      <c r="I354" s="117">
        <f>498250+447800+248000</f>
        <v>1194050</v>
      </c>
      <c r="J354" s="88"/>
      <c r="L354" s="88"/>
    </row>
    <row r="355" spans="1:10" ht="15">
      <c r="A355" s="56"/>
      <c r="B355" s="241" t="s">
        <v>5</v>
      </c>
      <c r="C355" s="245"/>
      <c r="D355" s="245"/>
      <c r="E355" s="245"/>
      <c r="F355" s="65"/>
      <c r="G355" s="65"/>
      <c r="H355" s="71"/>
      <c r="I355" s="57">
        <f>SUM(I328:I354)</f>
        <v>40807817</v>
      </c>
      <c r="J355" s="115"/>
    </row>
    <row r="356" spans="1:9" ht="15">
      <c r="A356" s="39"/>
      <c r="B356" s="39"/>
      <c r="C356" s="39"/>
      <c r="D356" s="39"/>
      <c r="E356" s="39"/>
      <c r="F356" s="39" t="s">
        <v>198</v>
      </c>
      <c r="G356" s="39"/>
      <c r="H356" s="39"/>
      <c r="I356" s="39" t="s">
        <v>198</v>
      </c>
    </row>
    <row r="357" spans="1:10" ht="15">
      <c r="A357" s="39"/>
      <c r="B357" s="39"/>
      <c r="C357" s="39"/>
      <c r="D357" s="38"/>
      <c r="E357" s="38"/>
      <c r="F357" s="240" t="s">
        <v>662</v>
      </c>
      <c r="G357" s="240"/>
      <c r="H357" s="240"/>
      <c r="I357" s="240"/>
      <c r="J357" s="105"/>
    </row>
    <row r="358" spans="1:9" ht="15">
      <c r="A358" s="39"/>
      <c r="B358" s="39"/>
      <c r="C358" s="38" t="s">
        <v>199</v>
      </c>
      <c r="D358" s="38"/>
      <c r="E358" s="38"/>
      <c r="F358" s="240" t="s">
        <v>696</v>
      </c>
      <c r="G358" s="240"/>
      <c r="H358" s="240"/>
      <c r="I358" s="240"/>
    </row>
    <row r="359" spans="1:8" ht="15">
      <c r="A359" s="39"/>
      <c r="B359" s="39"/>
      <c r="C359" s="39"/>
      <c r="D359" s="39"/>
      <c r="E359" s="39"/>
      <c r="G359" s="39"/>
      <c r="H359" s="39"/>
    </row>
    <row r="360" spans="1:8" ht="15">
      <c r="A360" s="39"/>
      <c r="B360" s="61"/>
      <c r="C360" s="272" t="s">
        <v>866</v>
      </c>
      <c r="D360" s="39"/>
      <c r="E360" s="39"/>
      <c r="G360" s="270" t="s">
        <v>866</v>
      </c>
      <c r="H360" s="39"/>
    </row>
    <row r="361" spans="1:9" ht="15">
      <c r="A361" s="39"/>
      <c r="B361" s="61"/>
      <c r="C361" s="38" t="s">
        <v>269</v>
      </c>
      <c r="D361" s="62"/>
      <c r="E361" s="62"/>
      <c r="F361" s="240" t="s">
        <v>351</v>
      </c>
      <c r="G361" s="240"/>
      <c r="H361" s="240"/>
      <c r="I361" s="240"/>
    </row>
    <row r="362" spans="6:9" ht="15">
      <c r="F362" s="240"/>
      <c r="G362" s="240"/>
      <c r="H362" s="240"/>
      <c r="I362" s="240"/>
    </row>
    <row r="363" spans="6:9" ht="15">
      <c r="F363" s="240"/>
      <c r="G363" s="240"/>
      <c r="H363" s="240"/>
      <c r="I363" s="240"/>
    </row>
  </sheetData>
  <sheetProtection/>
  <mergeCells count="76">
    <mergeCell ref="E54:F54"/>
    <mergeCell ref="I66:I68"/>
    <mergeCell ref="D67:E67"/>
    <mergeCell ref="A89:I89"/>
    <mergeCell ref="A111:C111"/>
    <mergeCell ref="A62:I62"/>
    <mergeCell ref="A63:I63"/>
    <mergeCell ref="A64:I64"/>
    <mergeCell ref="A66:A68"/>
    <mergeCell ref="B66:C68"/>
    <mergeCell ref="D66:E66"/>
    <mergeCell ref="F66:F68"/>
    <mergeCell ref="G66:H66"/>
    <mergeCell ref="A112:I112"/>
    <mergeCell ref="G67:H67"/>
    <mergeCell ref="A69:I69"/>
    <mergeCell ref="A72:C72"/>
    <mergeCell ref="A73:I73"/>
    <mergeCell ref="A75:C75"/>
    <mergeCell ref="A76:I76"/>
    <mergeCell ref="A78:C78"/>
    <mergeCell ref="A79:I79"/>
    <mergeCell ref="A88:C88"/>
    <mergeCell ref="A140:I140"/>
    <mergeCell ref="A161:C161"/>
    <mergeCell ref="A162:I162"/>
    <mergeCell ref="A186:C186"/>
    <mergeCell ref="A114:C114"/>
    <mergeCell ref="A115:I115"/>
    <mergeCell ref="A117:C117"/>
    <mergeCell ref="A118:I118"/>
    <mergeCell ref="A187:I187"/>
    <mergeCell ref="A245:C245"/>
    <mergeCell ref="A297:C297"/>
    <mergeCell ref="F299:I299"/>
    <mergeCell ref="F300:I300"/>
    <mergeCell ref="F303:I303"/>
    <mergeCell ref="A246:I246"/>
    <mergeCell ref="A296:C296"/>
    <mergeCell ref="A139:C139"/>
    <mergeCell ref="F361:I361"/>
    <mergeCell ref="F362:I362"/>
    <mergeCell ref="A305:I305"/>
    <mergeCell ref="A249:C249"/>
    <mergeCell ref="A250:I250"/>
    <mergeCell ref="A253:C253"/>
    <mergeCell ref="A254:I254"/>
    <mergeCell ref="A256:C256"/>
    <mergeCell ref="A257:I257"/>
    <mergeCell ref="F363:I363"/>
    <mergeCell ref="A306:I306"/>
    <mergeCell ref="B308:B309"/>
    <mergeCell ref="C308:H309"/>
    <mergeCell ref="B322:E322"/>
    <mergeCell ref="B325:B326"/>
    <mergeCell ref="C325:H326"/>
    <mergeCell ref="B355:E355"/>
    <mergeCell ref="F357:I357"/>
    <mergeCell ref="F358:I358"/>
    <mergeCell ref="F25:F26"/>
    <mergeCell ref="A1:F1"/>
    <mergeCell ref="A2:F2"/>
    <mergeCell ref="A3:F3"/>
    <mergeCell ref="A4:F4"/>
    <mergeCell ref="A5:F5"/>
    <mergeCell ref="E7:F7"/>
    <mergeCell ref="E52:F52"/>
    <mergeCell ref="E55:F55"/>
    <mergeCell ref="A8:B8"/>
    <mergeCell ref="A9:B9"/>
    <mergeCell ref="A10:B10"/>
    <mergeCell ref="E24:F24"/>
    <mergeCell ref="B25:B26"/>
    <mergeCell ref="C25:C26"/>
    <mergeCell ref="D25:D26"/>
    <mergeCell ref="E25:E26"/>
  </mergeCells>
  <printOptions/>
  <pageMargins left="0.25" right="0.25" top="0.75" bottom="1.36" header="0.3" footer="0.3"/>
  <pageSetup orientation="portrait" paperSize="5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3"/>
  <sheetViews>
    <sheetView zoomScale="80" zoomScaleNormal="80" zoomScalePageLayoutView="0" workbookViewId="0" topLeftCell="A93">
      <selection activeCell="M274" sqref="L274:M276"/>
    </sheetView>
  </sheetViews>
  <sheetFormatPr defaultColWidth="11.00390625" defaultRowHeight="15"/>
  <cols>
    <col min="1" max="1" width="5.8515625" style="0" customWidth="1"/>
    <col min="2" max="2" width="5.00390625" style="0" customWidth="1"/>
    <col min="3" max="3" width="37.28125" style="0" customWidth="1"/>
    <col min="4" max="4" width="18.7109375" style="0" customWidth="1"/>
    <col min="5" max="6" width="20.7109375" style="0" customWidth="1"/>
    <col min="7" max="8" width="15.7109375" style="0" customWidth="1"/>
    <col min="9" max="9" width="16.7109375" style="0" customWidth="1"/>
    <col min="10" max="11" width="15.7109375" style="0" customWidth="1"/>
    <col min="12" max="12" width="16.7109375" style="0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853</v>
      </c>
      <c r="F7" s="259"/>
    </row>
    <row r="8" spans="1:6" ht="18.75">
      <c r="A8" s="246" t="s">
        <v>748</v>
      </c>
      <c r="B8" s="246"/>
      <c r="C8" s="136" t="s">
        <v>854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200"/>
      <c r="F20" s="200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869</v>
      </c>
      <c r="C22" s="135"/>
      <c r="D22" s="135"/>
      <c r="E22" s="135"/>
      <c r="F22" s="137"/>
    </row>
    <row r="23" spans="2:6" ht="18.75">
      <c r="B23" s="135" t="s">
        <v>855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856</v>
      </c>
      <c r="D29" s="147"/>
      <c r="E29" s="147"/>
      <c r="F29" s="148">
        <f>'[1]November'!F28</f>
        <v>1121140730</v>
      </c>
    </row>
    <row r="30" spans="1:6" ht="18.75">
      <c r="A30" s="140"/>
      <c r="B30" s="145"/>
      <c r="C30" s="146" t="s">
        <v>857</v>
      </c>
      <c r="D30" s="203">
        <v>129644629</v>
      </c>
      <c r="E30" s="150"/>
      <c r="F30" s="147"/>
    </row>
    <row r="31" spans="1:6" ht="18.75">
      <c r="A31" s="140"/>
      <c r="B31" s="145"/>
      <c r="C31" s="146" t="s">
        <v>858</v>
      </c>
      <c r="D31" s="147"/>
      <c r="E31" s="204">
        <v>369400900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881384459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856</v>
      </c>
      <c r="D34" s="157"/>
      <c r="E34" s="158"/>
      <c r="F34" s="157">
        <f>'[1]November'!F33</f>
        <v>2675000</v>
      </c>
    </row>
    <row r="35" spans="1:6" ht="18.75">
      <c r="A35" s="140"/>
      <c r="B35" s="145"/>
      <c r="C35" s="146" t="s">
        <v>857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858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129644629</v>
      </c>
      <c r="E38" s="160">
        <f>E31+E36</f>
        <v>369400900</v>
      </c>
      <c r="F38" s="161">
        <f>F32+F37</f>
        <v>884059459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856</v>
      </c>
      <c r="D41" s="147"/>
      <c r="E41" s="166"/>
      <c r="F41" s="160">
        <f>'[1]November'!F40</f>
        <v>1358659269</v>
      </c>
    </row>
    <row r="42" spans="1:6" ht="18.75">
      <c r="A42" s="167"/>
      <c r="B42" s="145"/>
      <c r="C42" s="146" t="s">
        <v>857</v>
      </c>
      <c r="D42" s="203">
        <v>57487550</v>
      </c>
      <c r="E42" s="168"/>
      <c r="F42" s="166"/>
    </row>
    <row r="43" spans="1:6" ht="18.75">
      <c r="A43" s="140"/>
      <c r="B43" s="145"/>
      <c r="C43" s="146" t="s">
        <v>858</v>
      </c>
      <c r="D43" s="150"/>
      <c r="E43" s="205">
        <v>271863313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1144283506</v>
      </c>
    </row>
    <row r="45" spans="1:6" ht="18.75">
      <c r="A45" s="140"/>
      <c r="B45" s="145"/>
      <c r="C45" s="171" t="s">
        <v>859</v>
      </c>
      <c r="D45" s="172">
        <f>D30+D42</f>
        <v>187132179</v>
      </c>
      <c r="E45" s="172">
        <f>E31+E43</f>
        <v>641264213</v>
      </c>
      <c r="F45" s="173">
        <f>F38+F44</f>
        <v>2028342965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97"/>
    </row>
    <row r="49" spans="1:6" ht="18.75">
      <c r="A49" s="175"/>
      <c r="B49" s="176" t="s">
        <v>773</v>
      </c>
      <c r="C49" s="137"/>
      <c r="D49" s="177"/>
      <c r="E49" s="137"/>
      <c r="F49" s="197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5" spans="1:9" ht="22.5">
      <c r="A65" s="206" t="s">
        <v>0</v>
      </c>
      <c r="B65" s="206"/>
      <c r="C65" s="206"/>
      <c r="D65" s="206"/>
      <c r="E65" s="206"/>
      <c r="F65" s="206"/>
      <c r="G65" s="206"/>
      <c r="H65" s="206"/>
      <c r="I65" s="206"/>
    </row>
    <row r="66" spans="1:9" ht="22.5">
      <c r="A66" s="206" t="s">
        <v>1</v>
      </c>
      <c r="B66" s="206"/>
      <c r="C66" s="206"/>
      <c r="D66" s="206"/>
      <c r="E66" s="206"/>
      <c r="F66" s="206"/>
      <c r="G66" s="206"/>
      <c r="H66" s="206"/>
      <c r="I66" s="206"/>
    </row>
    <row r="67" spans="1:9" ht="20.25">
      <c r="A67" s="207" t="s">
        <v>697</v>
      </c>
      <c r="B67" s="207"/>
      <c r="C67" s="207"/>
      <c r="D67" s="207"/>
      <c r="E67" s="207"/>
      <c r="F67" s="207"/>
      <c r="G67" s="207"/>
      <c r="H67" s="207"/>
      <c r="I67" s="207"/>
    </row>
    <row r="68" spans="1:9" ht="15.75" thickBot="1">
      <c r="A68" s="1"/>
      <c r="B68" s="1"/>
      <c r="C68" s="1"/>
      <c r="D68" s="1"/>
      <c r="E68" s="1"/>
      <c r="F68" s="1"/>
      <c r="G68" s="1"/>
      <c r="H68" s="1"/>
      <c r="I68" s="1"/>
    </row>
    <row r="69" spans="1:9" ht="15.75" thickTop="1">
      <c r="A69" s="208" t="s">
        <v>2</v>
      </c>
      <c r="B69" s="211" t="s">
        <v>3</v>
      </c>
      <c r="C69" s="267"/>
      <c r="D69" s="217" t="s">
        <v>4</v>
      </c>
      <c r="E69" s="218"/>
      <c r="F69" s="219" t="s">
        <v>5</v>
      </c>
      <c r="G69" s="217" t="s">
        <v>4</v>
      </c>
      <c r="H69" s="218"/>
      <c r="I69" s="219" t="s">
        <v>5</v>
      </c>
    </row>
    <row r="70" spans="1:9" ht="15">
      <c r="A70" s="209"/>
      <c r="B70" s="213"/>
      <c r="C70" s="268"/>
      <c r="D70" s="222" t="s">
        <v>661</v>
      </c>
      <c r="E70" s="223"/>
      <c r="F70" s="220"/>
      <c r="G70" s="222" t="s">
        <v>698</v>
      </c>
      <c r="H70" s="223"/>
      <c r="I70" s="220"/>
    </row>
    <row r="71" spans="1:12" ht="15">
      <c r="A71" s="210"/>
      <c r="B71" s="215"/>
      <c r="C71" s="269"/>
      <c r="D71" s="2" t="s">
        <v>6</v>
      </c>
      <c r="E71" s="2" t="s">
        <v>7</v>
      </c>
      <c r="F71" s="221"/>
      <c r="G71" s="2" t="s">
        <v>6</v>
      </c>
      <c r="H71" s="2" t="s">
        <v>7</v>
      </c>
      <c r="I71" s="221"/>
      <c r="L71" t="s">
        <v>198</v>
      </c>
    </row>
    <row r="72" spans="1:9" ht="15">
      <c r="A72" s="230" t="s">
        <v>8</v>
      </c>
      <c r="B72" s="231"/>
      <c r="C72" s="231"/>
      <c r="D72" s="231"/>
      <c r="E72" s="231"/>
      <c r="F72" s="231"/>
      <c r="G72" s="231"/>
      <c r="H72" s="231"/>
      <c r="I72" s="232"/>
    </row>
    <row r="73" spans="1:9" ht="15">
      <c r="A73" s="80">
        <v>1</v>
      </c>
      <c r="B73" s="3">
        <v>1</v>
      </c>
      <c r="C73" s="4" t="s">
        <v>9</v>
      </c>
      <c r="D73" s="5"/>
      <c r="E73" s="5">
        <v>5000000</v>
      </c>
      <c r="F73" s="6">
        <f>SUM(D73:E73)</f>
        <v>5000000</v>
      </c>
      <c r="G73" s="5"/>
      <c r="H73" s="5">
        <v>5000000</v>
      </c>
      <c r="I73" s="6">
        <f>SUM(G73:H73)</f>
        <v>5000000</v>
      </c>
    </row>
    <row r="74" spans="1:9" ht="15">
      <c r="A74" s="80">
        <v>2</v>
      </c>
      <c r="B74" s="3">
        <v>2</v>
      </c>
      <c r="C74" s="4" t="s">
        <v>10</v>
      </c>
      <c r="D74" s="5"/>
      <c r="E74" s="5"/>
      <c r="F74" s="6">
        <f>SUM(D74:E74)</f>
        <v>0</v>
      </c>
      <c r="G74" s="5"/>
      <c r="H74" s="5"/>
      <c r="I74" s="6">
        <f>SUM(G74:H74)</f>
        <v>0</v>
      </c>
    </row>
    <row r="75" spans="1:9" ht="15">
      <c r="A75" s="224" t="s">
        <v>5</v>
      </c>
      <c r="B75" s="225"/>
      <c r="C75" s="225"/>
      <c r="D75" s="7">
        <f>SUM(D73:D74)</f>
        <v>0</v>
      </c>
      <c r="E75" s="8">
        <f>SUM(E73:E74)</f>
        <v>5000000</v>
      </c>
      <c r="F75" s="7">
        <f>SUM(D75:E75)</f>
        <v>5000000</v>
      </c>
      <c r="G75" s="7">
        <f>SUM(G73:G74)</f>
        <v>0</v>
      </c>
      <c r="H75" s="8">
        <f>SUM(H73:H74)</f>
        <v>5000000</v>
      </c>
      <c r="I75" s="7">
        <f>SUM(G75:H75)</f>
        <v>5000000</v>
      </c>
    </row>
    <row r="76" spans="1:9" ht="15">
      <c r="A76" s="224" t="s">
        <v>564</v>
      </c>
      <c r="B76" s="225"/>
      <c r="C76" s="225"/>
      <c r="D76" s="225"/>
      <c r="E76" s="225"/>
      <c r="F76" s="225"/>
      <c r="G76" s="225"/>
      <c r="H76" s="225"/>
      <c r="I76" s="226"/>
    </row>
    <row r="77" spans="1:9" ht="15">
      <c r="A77" s="111">
        <v>3</v>
      </c>
      <c r="B77" s="111">
        <v>1</v>
      </c>
      <c r="C77" s="22" t="s">
        <v>565</v>
      </c>
      <c r="D77" s="5"/>
      <c r="E77" s="14"/>
      <c r="F77" s="5">
        <f>SUM(D77:E77)</f>
        <v>0</v>
      </c>
      <c r="G77" s="5"/>
      <c r="H77" s="14"/>
      <c r="I77" s="5">
        <f>SUM(G77:H77)</f>
        <v>0</v>
      </c>
    </row>
    <row r="78" spans="1:9" ht="15">
      <c r="A78" s="239" t="s">
        <v>5</v>
      </c>
      <c r="B78" s="239"/>
      <c r="C78" s="239"/>
      <c r="D78" s="7">
        <f aca="true" t="shared" si="0" ref="D78:I78">SUM(D77)</f>
        <v>0</v>
      </c>
      <c r="E78" s="7">
        <f t="shared" si="0"/>
        <v>0</v>
      </c>
      <c r="F78" s="7">
        <f t="shared" si="0"/>
        <v>0</v>
      </c>
      <c r="G78" s="7">
        <f t="shared" si="0"/>
        <v>0</v>
      </c>
      <c r="H78" s="7">
        <f t="shared" si="0"/>
        <v>0</v>
      </c>
      <c r="I78" s="7">
        <f t="shared" si="0"/>
        <v>0</v>
      </c>
    </row>
    <row r="79" spans="1:9" ht="15">
      <c r="A79" s="227" t="s">
        <v>11</v>
      </c>
      <c r="B79" s="228"/>
      <c r="C79" s="228"/>
      <c r="D79" s="228"/>
      <c r="E79" s="228"/>
      <c r="F79" s="228"/>
      <c r="G79" s="228"/>
      <c r="H79" s="228"/>
      <c r="I79" s="229"/>
    </row>
    <row r="80" spans="1:9" ht="15">
      <c r="A80" s="9">
        <v>4</v>
      </c>
      <c r="B80" s="9">
        <v>1</v>
      </c>
      <c r="C80" s="10" t="s">
        <v>12</v>
      </c>
      <c r="D80" s="5">
        <v>2321604</v>
      </c>
      <c r="E80" s="5"/>
      <c r="F80" s="6">
        <f>SUM(D80:E80)</f>
        <v>2321604</v>
      </c>
      <c r="G80" s="5">
        <v>2321604</v>
      </c>
      <c r="H80" s="5"/>
      <c r="I80" s="6">
        <f>SUM(G80:H80)</f>
        <v>2321604</v>
      </c>
    </row>
    <row r="81" spans="1:9" ht="15">
      <c r="A81" s="224" t="s">
        <v>5</v>
      </c>
      <c r="B81" s="225"/>
      <c r="C81" s="225"/>
      <c r="D81" s="7">
        <f>SUM(D79:D80)</f>
        <v>2321604</v>
      </c>
      <c r="E81" s="8">
        <f>SUM(E79:E80)</f>
        <v>0</v>
      </c>
      <c r="F81" s="7">
        <f>SUM(D81:E81)</f>
        <v>2321604</v>
      </c>
      <c r="G81" s="7">
        <f>SUM(G79:G80)</f>
        <v>2321604</v>
      </c>
      <c r="H81" s="8">
        <f>SUM(H79:H80)</f>
        <v>0</v>
      </c>
      <c r="I81" s="7">
        <f>SUM(G81:H81)</f>
        <v>2321604</v>
      </c>
    </row>
    <row r="82" spans="1:9" ht="15">
      <c r="A82" s="224" t="s">
        <v>13</v>
      </c>
      <c r="B82" s="225"/>
      <c r="C82" s="225"/>
      <c r="D82" s="225"/>
      <c r="E82" s="225"/>
      <c r="F82" s="225"/>
      <c r="G82" s="225"/>
      <c r="H82" s="225"/>
      <c r="I82" s="226"/>
    </row>
    <row r="83" spans="1:9" ht="15">
      <c r="A83" s="11">
        <v>5</v>
      </c>
      <c r="B83" s="12">
        <v>1</v>
      </c>
      <c r="C83" s="95" t="s">
        <v>312</v>
      </c>
      <c r="D83" s="5">
        <v>2264600</v>
      </c>
      <c r="E83" s="5">
        <v>569000</v>
      </c>
      <c r="F83" s="6">
        <f aca="true" t="shared" si="1" ref="F83:F91">SUM(D83:E83)</f>
        <v>2833600</v>
      </c>
      <c r="G83" s="5">
        <v>2241500</v>
      </c>
      <c r="H83" s="5">
        <v>569000</v>
      </c>
      <c r="I83" s="6">
        <f aca="true" t="shared" si="2" ref="I83:I90">SUM(G83:H83)</f>
        <v>2810500</v>
      </c>
    </row>
    <row r="84" spans="1:9" ht="15">
      <c r="A84" s="11">
        <v>6</v>
      </c>
      <c r="B84" s="12">
        <v>2</v>
      </c>
      <c r="C84" s="13" t="s">
        <v>234</v>
      </c>
      <c r="D84" s="5">
        <v>1348475</v>
      </c>
      <c r="E84" s="5">
        <v>233550</v>
      </c>
      <c r="F84" s="6">
        <f t="shared" si="1"/>
        <v>1582025</v>
      </c>
      <c r="G84" s="5">
        <v>1353100</v>
      </c>
      <c r="H84" s="5">
        <v>233550</v>
      </c>
      <c r="I84" s="6">
        <f t="shared" si="2"/>
        <v>1586650</v>
      </c>
    </row>
    <row r="85" spans="1:9" ht="15">
      <c r="A85" s="11">
        <v>7</v>
      </c>
      <c r="B85" s="12">
        <v>3</v>
      </c>
      <c r="C85" s="13" t="s">
        <v>15</v>
      </c>
      <c r="D85" s="5">
        <v>2483400</v>
      </c>
      <c r="E85" s="14">
        <v>107100</v>
      </c>
      <c r="F85" s="6">
        <f t="shared" si="1"/>
        <v>2590500</v>
      </c>
      <c r="G85" s="5">
        <v>2492500</v>
      </c>
      <c r="H85" s="14">
        <v>107000</v>
      </c>
      <c r="I85" s="6">
        <f t="shared" si="2"/>
        <v>2599500</v>
      </c>
    </row>
    <row r="86" spans="1:9" ht="15">
      <c r="A86" s="11">
        <v>8</v>
      </c>
      <c r="B86" s="12">
        <v>4</v>
      </c>
      <c r="C86" s="13" t="s">
        <v>16</v>
      </c>
      <c r="D86" s="5"/>
      <c r="E86" s="5"/>
      <c r="F86" s="6">
        <f t="shared" si="1"/>
        <v>0</v>
      </c>
      <c r="G86" s="5"/>
      <c r="H86" s="5"/>
      <c r="I86" s="6">
        <f t="shared" si="2"/>
        <v>0</v>
      </c>
    </row>
    <row r="87" spans="1:9" ht="15">
      <c r="A87" s="11">
        <v>9</v>
      </c>
      <c r="B87" s="12">
        <v>5</v>
      </c>
      <c r="C87" s="13" t="s">
        <v>17</v>
      </c>
      <c r="D87" s="5"/>
      <c r="E87" s="5"/>
      <c r="F87" s="6">
        <f t="shared" si="1"/>
        <v>0</v>
      </c>
      <c r="G87" s="5"/>
      <c r="H87" s="5"/>
      <c r="I87" s="6">
        <f t="shared" si="2"/>
        <v>0</v>
      </c>
    </row>
    <row r="88" spans="1:9" ht="15">
      <c r="A88" s="11">
        <v>10</v>
      </c>
      <c r="B88" s="12">
        <v>6</v>
      </c>
      <c r="C88" s="13" t="s">
        <v>18</v>
      </c>
      <c r="D88" s="5"/>
      <c r="E88" s="5"/>
      <c r="F88" s="6">
        <f t="shared" si="1"/>
        <v>0</v>
      </c>
      <c r="G88" s="5"/>
      <c r="H88" s="5"/>
      <c r="I88" s="6">
        <f t="shared" si="2"/>
        <v>0</v>
      </c>
    </row>
    <row r="89" spans="1:9" ht="15">
      <c r="A89" s="11">
        <v>11</v>
      </c>
      <c r="B89" s="12">
        <v>7</v>
      </c>
      <c r="C89" s="15" t="s">
        <v>19</v>
      </c>
      <c r="D89" s="5">
        <v>140965</v>
      </c>
      <c r="E89" s="5">
        <v>63000</v>
      </c>
      <c r="F89" s="6">
        <f t="shared" si="1"/>
        <v>203965</v>
      </c>
      <c r="G89" s="5">
        <v>140965</v>
      </c>
      <c r="H89" s="5">
        <v>63000</v>
      </c>
      <c r="I89" s="6">
        <f t="shared" si="2"/>
        <v>203965</v>
      </c>
    </row>
    <row r="90" spans="1:9" ht="15">
      <c r="A90" s="11">
        <v>12</v>
      </c>
      <c r="B90" s="12">
        <v>8</v>
      </c>
      <c r="C90" s="13" t="s">
        <v>307</v>
      </c>
      <c r="D90" s="5">
        <v>2367649</v>
      </c>
      <c r="E90" s="5">
        <v>313000</v>
      </c>
      <c r="F90" s="6">
        <f t="shared" si="1"/>
        <v>2680649</v>
      </c>
      <c r="G90" s="5">
        <v>2372494</v>
      </c>
      <c r="H90" s="5">
        <v>297000</v>
      </c>
      <c r="I90" s="6">
        <f t="shared" si="2"/>
        <v>2669494</v>
      </c>
    </row>
    <row r="91" spans="1:11" ht="15">
      <c r="A91" s="224" t="s">
        <v>5</v>
      </c>
      <c r="B91" s="225"/>
      <c r="C91" s="225"/>
      <c r="D91" s="7">
        <f>SUM(D83:D90)</f>
        <v>8605089</v>
      </c>
      <c r="E91" s="7">
        <f>SUM(E83:E90)</f>
        <v>1285650</v>
      </c>
      <c r="F91" s="7">
        <f t="shared" si="1"/>
        <v>9890739</v>
      </c>
      <c r="G91" s="7">
        <f>SUM(G83:G90)</f>
        <v>8600559</v>
      </c>
      <c r="H91" s="7">
        <f>SUM(H83:H90)</f>
        <v>1269550</v>
      </c>
      <c r="I91" s="7">
        <f>SUM(G91:H91)</f>
        <v>9870109</v>
      </c>
      <c r="K91" s="16"/>
    </row>
    <row r="92" spans="1:9" ht="15">
      <c r="A92" s="224" t="s">
        <v>20</v>
      </c>
      <c r="B92" s="225"/>
      <c r="C92" s="225"/>
      <c r="D92" s="225"/>
      <c r="E92" s="225"/>
      <c r="F92" s="225"/>
      <c r="G92" s="225"/>
      <c r="H92" s="225"/>
      <c r="I92" s="226"/>
    </row>
    <row r="93" spans="1:9" ht="15">
      <c r="A93" s="17">
        <v>13</v>
      </c>
      <c r="B93" s="15">
        <v>1</v>
      </c>
      <c r="C93" s="13" t="s">
        <v>255</v>
      </c>
      <c r="D93" s="5">
        <v>2134103</v>
      </c>
      <c r="E93" s="18">
        <v>1273215</v>
      </c>
      <c r="F93" s="6">
        <f aca="true" t="shared" si="3" ref="F93:F113">SUM(D93:E93)</f>
        <v>3407318</v>
      </c>
      <c r="G93" s="5">
        <v>2284278</v>
      </c>
      <c r="H93" s="18">
        <v>1248215</v>
      </c>
      <c r="I93" s="6">
        <f aca="true" t="shared" si="4" ref="I93:I114">SUM(G93:H93)</f>
        <v>3532493</v>
      </c>
    </row>
    <row r="94" spans="1:9" ht="15">
      <c r="A94" s="17">
        <v>14</v>
      </c>
      <c r="B94" s="15">
        <v>2</v>
      </c>
      <c r="C94" s="13" t="s">
        <v>21</v>
      </c>
      <c r="D94" s="5">
        <v>3636950</v>
      </c>
      <c r="E94" s="5">
        <v>5690000</v>
      </c>
      <c r="F94" s="6">
        <f t="shared" si="3"/>
        <v>9326950</v>
      </c>
      <c r="G94" s="5">
        <v>3559508</v>
      </c>
      <c r="H94" s="5">
        <v>5690000</v>
      </c>
      <c r="I94" s="6">
        <f t="shared" si="4"/>
        <v>9249508</v>
      </c>
    </row>
    <row r="95" spans="1:9" ht="15">
      <c r="A95" s="17">
        <v>15</v>
      </c>
      <c r="B95" s="15">
        <v>3</v>
      </c>
      <c r="C95" s="13" t="s">
        <v>314</v>
      </c>
      <c r="D95" s="5">
        <v>1840450</v>
      </c>
      <c r="E95" s="5">
        <v>521000</v>
      </c>
      <c r="F95" s="6">
        <f t="shared" si="3"/>
        <v>2361450</v>
      </c>
      <c r="G95" s="5">
        <v>1840450</v>
      </c>
      <c r="H95" s="5">
        <v>521000</v>
      </c>
      <c r="I95" s="6">
        <f t="shared" si="4"/>
        <v>2361450</v>
      </c>
    </row>
    <row r="96" spans="1:9" ht="15">
      <c r="A96" s="17">
        <v>16</v>
      </c>
      <c r="B96" s="15">
        <v>4</v>
      </c>
      <c r="C96" s="13" t="s">
        <v>253</v>
      </c>
      <c r="D96" s="5">
        <v>612778</v>
      </c>
      <c r="E96" s="5">
        <v>743785</v>
      </c>
      <c r="F96" s="6">
        <f t="shared" si="3"/>
        <v>1356563</v>
      </c>
      <c r="G96" s="5">
        <v>612778</v>
      </c>
      <c r="H96" s="5">
        <v>743785</v>
      </c>
      <c r="I96" s="6">
        <f t="shared" si="4"/>
        <v>1356563</v>
      </c>
    </row>
    <row r="97" spans="1:9" ht="15">
      <c r="A97" s="17">
        <v>17</v>
      </c>
      <c r="B97" s="15">
        <v>5</v>
      </c>
      <c r="C97" s="13" t="s">
        <v>24</v>
      </c>
      <c r="D97" s="5">
        <v>1766400</v>
      </c>
      <c r="E97" s="5">
        <v>80000</v>
      </c>
      <c r="F97" s="6">
        <f t="shared" si="3"/>
        <v>1846400</v>
      </c>
      <c r="G97" s="5">
        <v>1766400</v>
      </c>
      <c r="H97" s="5">
        <v>80000</v>
      </c>
      <c r="I97" s="6">
        <f t="shared" si="4"/>
        <v>1846400</v>
      </c>
    </row>
    <row r="98" spans="1:9" ht="15">
      <c r="A98" s="17">
        <v>18</v>
      </c>
      <c r="B98" s="15">
        <v>6</v>
      </c>
      <c r="C98" s="13" t="s">
        <v>25</v>
      </c>
      <c r="D98" s="5">
        <v>2030000</v>
      </c>
      <c r="E98" s="5">
        <v>394000</v>
      </c>
      <c r="F98" s="6">
        <f t="shared" si="3"/>
        <v>2424000</v>
      </c>
      <c r="G98" s="5">
        <v>2030000</v>
      </c>
      <c r="H98" s="5">
        <v>394000</v>
      </c>
      <c r="I98" s="6">
        <f t="shared" si="4"/>
        <v>2424000</v>
      </c>
    </row>
    <row r="99" spans="1:9" ht="15">
      <c r="A99" s="17">
        <v>19</v>
      </c>
      <c r="B99" s="15">
        <v>7</v>
      </c>
      <c r="C99" s="95" t="s">
        <v>26</v>
      </c>
      <c r="D99" s="5">
        <f>1604500+3994100</f>
        <v>5598600</v>
      </c>
      <c r="E99" s="5">
        <v>320000</v>
      </c>
      <c r="F99" s="6">
        <f t="shared" si="3"/>
        <v>5918600</v>
      </c>
      <c r="G99" s="5">
        <v>3987000</v>
      </c>
      <c r="H99" s="5">
        <v>182600</v>
      </c>
      <c r="I99" s="6">
        <f t="shared" si="4"/>
        <v>4169600</v>
      </c>
    </row>
    <row r="100" spans="1:9" ht="15">
      <c r="A100" s="17">
        <v>20</v>
      </c>
      <c r="B100" s="15">
        <v>8</v>
      </c>
      <c r="C100" s="95" t="s">
        <v>242</v>
      </c>
      <c r="D100" s="5">
        <v>2063400</v>
      </c>
      <c r="E100" s="5">
        <v>182600</v>
      </c>
      <c r="F100" s="6">
        <f t="shared" si="3"/>
        <v>2246000</v>
      </c>
      <c r="G100" s="5">
        <v>2191900</v>
      </c>
      <c r="H100" s="5"/>
      <c r="I100" s="6">
        <f t="shared" si="4"/>
        <v>2191900</v>
      </c>
    </row>
    <row r="101" spans="1:9" ht="15">
      <c r="A101" s="17">
        <v>21</v>
      </c>
      <c r="B101" s="15">
        <v>9</v>
      </c>
      <c r="C101" s="95" t="s">
        <v>28</v>
      </c>
      <c r="D101" s="5">
        <f>1059000*2</f>
        <v>2118000</v>
      </c>
      <c r="E101" s="5">
        <f>257000+257000</f>
        <v>514000</v>
      </c>
      <c r="F101" s="6">
        <f t="shared" si="3"/>
        <v>2632000</v>
      </c>
      <c r="G101" s="5">
        <v>1059000</v>
      </c>
      <c r="H101" s="5">
        <v>257000</v>
      </c>
      <c r="I101" s="6">
        <f t="shared" si="4"/>
        <v>1316000</v>
      </c>
    </row>
    <row r="102" spans="1:9" ht="15">
      <c r="A102" s="17">
        <v>22</v>
      </c>
      <c r="B102" s="15">
        <v>10</v>
      </c>
      <c r="C102" s="95" t="s">
        <v>203</v>
      </c>
      <c r="D102" s="5">
        <v>3027846</v>
      </c>
      <c r="E102" s="5">
        <v>1440000</v>
      </c>
      <c r="F102" s="6">
        <f t="shared" si="3"/>
        <v>4467846</v>
      </c>
      <c r="G102" s="5">
        <v>3035529</v>
      </c>
      <c r="H102" s="5">
        <v>1440000</v>
      </c>
      <c r="I102" s="6">
        <f t="shared" si="4"/>
        <v>4475529</v>
      </c>
    </row>
    <row r="103" spans="1:9" ht="15">
      <c r="A103" s="17">
        <v>23</v>
      </c>
      <c r="B103" s="15">
        <v>11</v>
      </c>
      <c r="C103" s="95" t="s">
        <v>244</v>
      </c>
      <c r="D103" s="5">
        <v>1782150</v>
      </c>
      <c r="E103" s="5">
        <v>315133</v>
      </c>
      <c r="F103" s="6">
        <f t="shared" si="3"/>
        <v>2097283</v>
      </c>
      <c r="G103" s="5">
        <v>1782150</v>
      </c>
      <c r="H103" s="5">
        <v>315100</v>
      </c>
      <c r="I103" s="6">
        <f t="shared" si="4"/>
        <v>2097250</v>
      </c>
    </row>
    <row r="104" spans="1:9" ht="15">
      <c r="A104" s="17">
        <v>24</v>
      </c>
      <c r="B104" s="15">
        <v>12</v>
      </c>
      <c r="C104" s="95" t="s">
        <v>31</v>
      </c>
      <c r="D104" s="5"/>
      <c r="E104" s="18"/>
      <c r="F104" s="6">
        <f t="shared" si="3"/>
        <v>0</v>
      </c>
      <c r="G104" s="5">
        <v>1604500</v>
      </c>
      <c r="H104" s="18">
        <v>320000</v>
      </c>
      <c r="I104" s="6">
        <f t="shared" si="4"/>
        <v>1924500</v>
      </c>
    </row>
    <row r="105" spans="1:9" ht="15">
      <c r="A105" s="17">
        <v>25</v>
      </c>
      <c r="B105" s="15">
        <v>13</v>
      </c>
      <c r="C105" s="95" t="s">
        <v>32</v>
      </c>
      <c r="D105" s="5"/>
      <c r="E105" s="5"/>
      <c r="F105" s="6">
        <f t="shared" si="3"/>
        <v>0</v>
      </c>
      <c r="G105" s="5"/>
      <c r="H105" s="5"/>
      <c r="I105" s="6">
        <f t="shared" si="4"/>
        <v>0</v>
      </c>
    </row>
    <row r="106" spans="1:9" ht="15">
      <c r="A106" s="17">
        <v>26</v>
      </c>
      <c r="B106" s="15">
        <v>14</v>
      </c>
      <c r="C106" s="95" t="s">
        <v>423</v>
      </c>
      <c r="D106" s="5"/>
      <c r="E106" s="5"/>
      <c r="F106" s="6">
        <f t="shared" si="3"/>
        <v>0</v>
      </c>
      <c r="G106" s="5">
        <f>619465+744165+744165</f>
        <v>2107795</v>
      </c>
      <c r="H106" s="5"/>
      <c r="I106" s="6">
        <f t="shared" si="4"/>
        <v>2107795</v>
      </c>
    </row>
    <row r="107" spans="1:9" ht="15">
      <c r="A107" s="17">
        <v>27</v>
      </c>
      <c r="B107" s="15">
        <v>15</v>
      </c>
      <c r="C107" s="95" t="s">
        <v>230</v>
      </c>
      <c r="D107" s="5">
        <v>873500</v>
      </c>
      <c r="E107" s="5">
        <v>1535100</v>
      </c>
      <c r="F107" s="6">
        <f t="shared" si="3"/>
        <v>2408600</v>
      </c>
      <c r="G107" s="5">
        <v>867500</v>
      </c>
      <c r="H107" s="5">
        <v>1545100</v>
      </c>
      <c r="I107" s="6">
        <f t="shared" si="4"/>
        <v>2412600</v>
      </c>
    </row>
    <row r="108" spans="1:9" ht="15">
      <c r="A108" s="17">
        <v>28</v>
      </c>
      <c r="B108" s="15">
        <v>16</v>
      </c>
      <c r="C108" s="95" t="s">
        <v>252</v>
      </c>
      <c r="D108" s="5">
        <v>958943</v>
      </c>
      <c r="E108" s="5">
        <v>27000</v>
      </c>
      <c r="F108" s="6">
        <f t="shared" si="3"/>
        <v>985943</v>
      </c>
      <c r="G108" s="5">
        <v>958943</v>
      </c>
      <c r="H108" s="5">
        <v>27000</v>
      </c>
      <c r="I108" s="6">
        <f t="shared" si="4"/>
        <v>985943</v>
      </c>
    </row>
    <row r="109" spans="1:9" ht="15">
      <c r="A109" s="17">
        <v>29</v>
      </c>
      <c r="B109" s="15">
        <v>17</v>
      </c>
      <c r="C109" s="95" t="s">
        <v>313</v>
      </c>
      <c r="D109" s="5"/>
      <c r="E109" s="5"/>
      <c r="F109" s="6">
        <f t="shared" si="3"/>
        <v>0</v>
      </c>
      <c r="G109" s="5">
        <f>458000+450000+450000</f>
        <v>1358000</v>
      </c>
      <c r="H109" s="5">
        <f>440000+445000+445000</f>
        <v>1330000</v>
      </c>
      <c r="I109" s="6">
        <f t="shared" si="4"/>
        <v>2688000</v>
      </c>
    </row>
    <row r="110" spans="1:9" ht="15">
      <c r="A110" s="17">
        <v>30</v>
      </c>
      <c r="B110" s="15">
        <v>18</v>
      </c>
      <c r="C110" s="96" t="s">
        <v>240</v>
      </c>
      <c r="D110" s="5">
        <v>3176450</v>
      </c>
      <c r="E110" s="5"/>
      <c r="F110" s="6">
        <f t="shared" si="3"/>
        <v>3176450</v>
      </c>
      <c r="G110" s="5">
        <v>3189150</v>
      </c>
      <c r="H110" s="5"/>
      <c r="I110" s="6">
        <f t="shared" si="4"/>
        <v>3189150</v>
      </c>
    </row>
    <row r="111" spans="1:9" ht="15">
      <c r="A111" s="17">
        <v>31</v>
      </c>
      <c r="B111" s="15">
        <v>19</v>
      </c>
      <c r="C111" s="96" t="s">
        <v>243</v>
      </c>
      <c r="D111" s="5">
        <v>690378</v>
      </c>
      <c r="E111" s="5">
        <v>662450</v>
      </c>
      <c r="F111" s="6">
        <f t="shared" si="3"/>
        <v>1352828</v>
      </c>
      <c r="G111" s="5">
        <v>690378</v>
      </c>
      <c r="H111" s="5">
        <v>662450</v>
      </c>
      <c r="I111" s="6">
        <f t="shared" si="4"/>
        <v>1352828</v>
      </c>
    </row>
    <row r="112" spans="1:9" ht="15">
      <c r="A112" s="17">
        <v>32</v>
      </c>
      <c r="B112" s="15">
        <v>20</v>
      </c>
      <c r="C112" s="96" t="s">
        <v>311</v>
      </c>
      <c r="D112" s="5">
        <v>877908</v>
      </c>
      <c r="E112" s="5">
        <v>133000</v>
      </c>
      <c r="F112" s="6">
        <f t="shared" si="3"/>
        <v>1010908</v>
      </c>
      <c r="G112" s="5">
        <v>877908</v>
      </c>
      <c r="H112" s="5">
        <v>133000</v>
      </c>
      <c r="I112" s="6">
        <f t="shared" si="4"/>
        <v>1010908</v>
      </c>
    </row>
    <row r="113" spans="1:9" ht="15">
      <c r="A113" s="17">
        <v>33</v>
      </c>
      <c r="B113" s="15">
        <v>21</v>
      </c>
      <c r="C113" s="96" t="s">
        <v>315</v>
      </c>
      <c r="D113" s="5">
        <v>743500</v>
      </c>
      <c r="E113" s="5"/>
      <c r="F113" s="6">
        <f t="shared" si="3"/>
        <v>743500</v>
      </c>
      <c r="G113" s="5">
        <v>743500</v>
      </c>
      <c r="H113" s="5"/>
      <c r="I113" s="6">
        <f t="shared" si="4"/>
        <v>743500</v>
      </c>
    </row>
    <row r="114" spans="1:9" ht="15">
      <c r="A114" s="224" t="s">
        <v>5</v>
      </c>
      <c r="B114" s="225"/>
      <c r="C114" s="225"/>
      <c r="D114" s="7">
        <f>SUM(D93:D113)</f>
        <v>33931356</v>
      </c>
      <c r="E114" s="7">
        <f>SUM(E93:E113)</f>
        <v>13831283</v>
      </c>
      <c r="F114" s="7">
        <f>SUM(D114:E114)</f>
        <v>47762639</v>
      </c>
      <c r="G114" s="7">
        <f>SUM(G93:G113)</f>
        <v>36546667</v>
      </c>
      <c r="H114" s="7">
        <f>SUM(H93:H113)</f>
        <v>14889250</v>
      </c>
      <c r="I114" s="7">
        <f t="shared" si="4"/>
        <v>51435917</v>
      </c>
    </row>
    <row r="115" spans="1:9" ht="15">
      <c r="A115" s="224" t="s">
        <v>47</v>
      </c>
      <c r="B115" s="225"/>
      <c r="C115" s="225"/>
      <c r="D115" s="225"/>
      <c r="E115" s="225"/>
      <c r="F115" s="225"/>
      <c r="G115" s="225"/>
      <c r="H115" s="225"/>
      <c r="I115" s="226"/>
    </row>
    <row r="116" spans="1:9" ht="15">
      <c r="A116" s="15">
        <v>34</v>
      </c>
      <c r="B116" s="15">
        <v>1</v>
      </c>
      <c r="C116" s="15" t="s">
        <v>48</v>
      </c>
      <c r="D116" s="5">
        <v>1000000</v>
      </c>
      <c r="E116" s="5">
        <v>200000</v>
      </c>
      <c r="F116" s="6">
        <f>SUM(D116:E116)</f>
        <v>1200000</v>
      </c>
      <c r="G116" s="5">
        <v>1000000</v>
      </c>
      <c r="H116" s="5">
        <v>200000</v>
      </c>
      <c r="I116" s="6">
        <f>SUM(G116:H116)</f>
        <v>1200000</v>
      </c>
    </row>
    <row r="117" spans="1:9" ht="15">
      <c r="A117" s="224" t="s">
        <v>42</v>
      </c>
      <c r="B117" s="225"/>
      <c r="C117" s="225"/>
      <c r="D117" s="7">
        <f>D116</f>
        <v>1000000</v>
      </c>
      <c r="E117" s="7">
        <f>E116</f>
        <v>200000</v>
      </c>
      <c r="F117" s="7">
        <f>SUM(D117:E117)</f>
        <v>1200000</v>
      </c>
      <c r="G117" s="7">
        <f>G116</f>
        <v>1000000</v>
      </c>
      <c r="H117" s="7">
        <f>H116</f>
        <v>200000</v>
      </c>
      <c r="I117" s="7">
        <f>SUM(G117:H117)</f>
        <v>1200000</v>
      </c>
    </row>
    <row r="118" spans="1:9" ht="15">
      <c r="A118" s="224" t="s">
        <v>49</v>
      </c>
      <c r="B118" s="225"/>
      <c r="C118" s="225"/>
      <c r="D118" s="225"/>
      <c r="E118" s="225"/>
      <c r="F118" s="225"/>
      <c r="G118" s="225"/>
      <c r="H118" s="225"/>
      <c r="I118" s="226"/>
    </row>
    <row r="119" spans="1:9" ht="15">
      <c r="A119" s="15">
        <v>35</v>
      </c>
      <c r="B119" s="15">
        <v>1</v>
      </c>
      <c r="C119" s="19" t="s">
        <v>50</v>
      </c>
      <c r="D119" s="5">
        <v>1653405</v>
      </c>
      <c r="E119" s="5">
        <v>465000</v>
      </c>
      <c r="F119" s="6">
        <f>SUM(D119:E119)</f>
        <v>2118405</v>
      </c>
      <c r="G119" s="5">
        <v>1344142</v>
      </c>
      <c r="H119" s="5">
        <v>465000</v>
      </c>
      <c r="I119" s="6">
        <f>SUM(G119:H119)</f>
        <v>1809142</v>
      </c>
    </row>
    <row r="120" spans="1:9" ht="15">
      <c r="A120" s="224" t="s">
        <v>42</v>
      </c>
      <c r="B120" s="225"/>
      <c r="C120" s="225"/>
      <c r="D120" s="7">
        <f>D119</f>
        <v>1653405</v>
      </c>
      <c r="E120" s="7">
        <f>E119</f>
        <v>465000</v>
      </c>
      <c r="F120" s="7">
        <f>SUM(D120:E120)</f>
        <v>2118405</v>
      </c>
      <c r="G120" s="7">
        <f>G119</f>
        <v>1344142</v>
      </c>
      <c r="H120" s="7">
        <f>H119</f>
        <v>465000</v>
      </c>
      <c r="I120" s="7">
        <f>SUM(G120:H120)</f>
        <v>1809142</v>
      </c>
    </row>
    <row r="121" spans="1:9" ht="15">
      <c r="A121" s="224" t="s">
        <v>51</v>
      </c>
      <c r="B121" s="225"/>
      <c r="C121" s="225"/>
      <c r="D121" s="225"/>
      <c r="E121" s="225"/>
      <c r="F121" s="225"/>
      <c r="G121" s="225"/>
      <c r="H121" s="225"/>
      <c r="I121" s="226"/>
    </row>
    <row r="122" spans="1:9" ht="15">
      <c r="A122" s="15">
        <v>36</v>
      </c>
      <c r="B122" s="15">
        <v>1</v>
      </c>
      <c r="C122" s="19" t="s">
        <v>52</v>
      </c>
      <c r="D122" s="5">
        <v>1326000</v>
      </c>
      <c r="E122" s="5">
        <v>649500</v>
      </c>
      <c r="F122" s="6">
        <f>SUM(D122:E122)</f>
        <v>1975500</v>
      </c>
      <c r="G122" s="5">
        <v>1326000</v>
      </c>
      <c r="H122" s="5">
        <v>649500</v>
      </c>
      <c r="I122" s="6">
        <f>SUM(G122:H122)</f>
        <v>1975500</v>
      </c>
    </row>
    <row r="123" spans="1:9" ht="15">
      <c r="A123" s="15">
        <v>37</v>
      </c>
      <c r="B123" s="15">
        <v>2</v>
      </c>
      <c r="C123" s="19" t="s">
        <v>53</v>
      </c>
      <c r="D123" s="5">
        <v>244000</v>
      </c>
      <c r="E123" s="5">
        <v>540000</v>
      </c>
      <c r="F123" s="6">
        <f aca="true" t="shared" si="5" ref="F123:F141">SUM(D123:E123)</f>
        <v>784000</v>
      </c>
      <c r="G123" s="5">
        <v>244000</v>
      </c>
      <c r="H123" s="5">
        <v>540000</v>
      </c>
      <c r="I123" s="6">
        <f aca="true" t="shared" si="6" ref="I123:I131">SUM(G123:H123)</f>
        <v>784000</v>
      </c>
    </row>
    <row r="124" spans="1:9" ht="15">
      <c r="A124" s="15">
        <v>38</v>
      </c>
      <c r="B124" s="15">
        <v>3</v>
      </c>
      <c r="C124" s="20" t="s">
        <v>54</v>
      </c>
      <c r="D124" s="5"/>
      <c r="E124" s="5"/>
      <c r="F124" s="6">
        <f t="shared" si="5"/>
        <v>0</v>
      </c>
      <c r="G124" s="5"/>
      <c r="H124" s="5">
        <v>4267000</v>
      </c>
      <c r="I124" s="6">
        <f t="shared" si="6"/>
        <v>4267000</v>
      </c>
    </row>
    <row r="125" spans="1:9" ht="15">
      <c r="A125" s="15">
        <v>39</v>
      </c>
      <c r="B125" s="21">
        <v>4</v>
      </c>
      <c r="C125" s="20" t="s">
        <v>55</v>
      </c>
      <c r="D125" s="5"/>
      <c r="E125" s="5"/>
      <c r="F125" s="6">
        <f t="shared" si="5"/>
        <v>0</v>
      </c>
      <c r="G125" s="5">
        <v>265000</v>
      </c>
      <c r="H125" s="5">
        <v>730000</v>
      </c>
      <c r="I125" s="6">
        <f t="shared" si="6"/>
        <v>995000</v>
      </c>
    </row>
    <row r="126" spans="1:9" ht="15">
      <c r="A126" s="15">
        <v>40</v>
      </c>
      <c r="B126" s="15">
        <v>5</v>
      </c>
      <c r="C126" s="20" t="s">
        <v>56</v>
      </c>
      <c r="D126" s="5"/>
      <c r="E126" s="5"/>
      <c r="F126" s="6">
        <f t="shared" si="5"/>
        <v>0</v>
      </c>
      <c r="G126" s="5">
        <v>1854300</v>
      </c>
      <c r="H126" s="5">
        <v>391000</v>
      </c>
      <c r="I126" s="6">
        <f t="shared" si="6"/>
        <v>2245300</v>
      </c>
    </row>
    <row r="127" spans="1:9" ht="15">
      <c r="A127" s="15">
        <v>41</v>
      </c>
      <c r="B127" s="15">
        <v>6</v>
      </c>
      <c r="C127" s="20" t="s">
        <v>57</v>
      </c>
      <c r="D127" s="5">
        <v>956718</v>
      </c>
      <c r="E127" s="5">
        <v>100000</v>
      </c>
      <c r="F127" s="6">
        <f t="shared" si="5"/>
        <v>1056718</v>
      </c>
      <c r="G127" s="5"/>
      <c r="H127" s="5"/>
      <c r="I127" s="6">
        <f t="shared" si="6"/>
        <v>0</v>
      </c>
    </row>
    <row r="128" spans="1:9" ht="15">
      <c r="A128" s="15">
        <v>42</v>
      </c>
      <c r="B128" s="15">
        <v>7</v>
      </c>
      <c r="C128" s="20" t="s">
        <v>58</v>
      </c>
      <c r="D128" s="5">
        <v>516000</v>
      </c>
      <c r="E128" s="5">
        <v>130000</v>
      </c>
      <c r="F128" s="6">
        <f t="shared" si="5"/>
        <v>646000</v>
      </c>
      <c r="G128" s="5">
        <v>516000</v>
      </c>
      <c r="H128" s="5">
        <v>130000</v>
      </c>
      <c r="I128" s="6">
        <f t="shared" si="6"/>
        <v>646000</v>
      </c>
    </row>
    <row r="129" spans="1:9" ht="15">
      <c r="A129" s="15">
        <v>43</v>
      </c>
      <c r="B129" s="15">
        <v>8</v>
      </c>
      <c r="C129" s="19" t="s">
        <v>59</v>
      </c>
      <c r="D129" s="5">
        <v>600000</v>
      </c>
      <c r="E129" s="5">
        <f>150000+295000</f>
        <v>445000</v>
      </c>
      <c r="F129" s="6">
        <f t="shared" si="5"/>
        <v>1045000</v>
      </c>
      <c r="G129" s="5">
        <v>600000</v>
      </c>
      <c r="H129" s="5">
        <v>150000</v>
      </c>
      <c r="I129" s="6">
        <f t="shared" si="6"/>
        <v>750000</v>
      </c>
    </row>
    <row r="130" spans="1:9" ht="15">
      <c r="A130" s="15">
        <v>44</v>
      </c>
      <c r="B130" s="15">
        <v>9</v>
      </c>
      <c r="C130" s="19" t="s">
        <v>60</v>
      </c>
      <c r="D130" s="5">
        <v>506300</v>
      </c>
      <c r="E130" s="5">
        <v>230000</v>
      </c>
      <c r="F130" s="6">
        <f t="shared" si="5"/>
        <v>736300</v>
      </c>
      <c r="G130" s="5">
        <v>506300</v>
      </c>
      <c r="H130" s="5">
        <v>230000</v>
      </c>
      <c r="I130" s="6">
        <f t="shared" si="6"/>
        <v>736300</v>
      </c>
    </row>
    <row r="131" spans="1:9" ht="15">
      <c r="A131" s="15">
        <v>45</v>
      </c>
      <c r="B131" s="15">
        <v>10</v>
      </c>
      <c r="C131" s="19" t="s">
        <v>61</v>
      </c>
      <c r="D131" s="5">
        <v>263400</v>
      </c>
      <c r="E131" s="5">
        <v>100000</v>
      </c>
      <c r="F131" s="6">
        <f t="shared" si="5"/>
        <v>363400</v>
      </c>
      <c r="G131" s="5">
        <v>386900</v>
      </c>
      <c r="H131" s="5">
        <v>100000</v>
      </c>
      <c r="I131" s="6">
        <f t="shared" si="6"/>
        <v>486900</v>
      </c>
    </row>
    <row r="132" spans="1:9" ht="15">
      <c r="A132" s="15">
        <v>46</v>
      </c>
      <c r="B132" s="15">
        <v>11</v>
      </c>
      <c r="C132" s="19" t="s">
        <v>62</v>
      </c>
      <c r="D132" s="5"/>
      <c r="E132" s="108"/>
      <c r="F132" s="6">
        <f>SUM(D132:E132)</f>
        <v>0</v>
      </c>
      <c r="G132" s="5"/>
      <c r="H132" s="108"/>
      <c r="I132" s="6">
        <f>SUM(G132:H132)</f>
        <v>0</v>
      </c>
    </row>
    <row r="133" spans="1:9" ht="15">
      <c r="A133" s="15">
        <v>47</v>
      </c>
      <c r="B133" s="15">
        <v>12</v>
      </c>
      <c r="C133" s="19" t="s">
        <v>63</v>
      </c>
      <c r="D133" s="5"/>
      <c r="E133" s="5"/>
      <c r="F133" s="6">
        <f t="shared" si="5"/>
        <v>0</v>
      </c>
      <c r="G133" s="5">
        <f>1341000*3</f>
        <v>4023000</v>
      </c>
      <c r="H133" s="5"/>
      <c r="I133" s="6">
        <f>SUM(G133:H133)</f>
        <v>4023000</v>
      </c>
    </row>
    <row r="134" spans="1:9" ht="15">
      <c r="A134" s="15">
        <v>48</v>
      </c>
      <c r="B134" s="15">
        <v>13</v>
      </c>
      <c r="C134" s="19" t="s">
        <v>64</v>
      </c>
      <c r="D134" s="5"/>
      <c r="E134" s="5"/>
      <c r="F134" s="6">
        <f t="shared" si="5"/>
        <v>0</v>
      </c>
      <c r="G134" s="5"/>
      <c r="H134" s="5"/>
      <c r="I134" s="6">
        <f>SUM(G134:H134)</f>
        <v>0</v>
      </c>
    </row>
    <row r="135" spans="1:9" ht="15">
      <c r="A135" s="15">
        <v>49</v>
      </c>
      <c r="B135" s="15">
        <v>14</v>
      </c>
      <c r="C135" s="19" t="s">
        <v>65</v>
      </c>
      <c r="D135" s="5">
        <v>127000</v>
      </c>
      <c r="E135" s="5">
        <v>135000</v>
      </c>
      <c r="F135" s="6">
        <f>SUM(D135:E135)</f>
        <v>262000</v>
      </c>
      <c r="G135" s="5">
        <v>127000</v>
      </c>
      <c r="H135" s="5">
        <v>140000</v>
      </c>
      <c r="I135" s="6">
        <f>SUM(G135:H135)</f>
        <v>267000</v>
      </c>
    </row>
    <row r="136" spans="1:9" ht="15">
      <c r="A136" s="15">
        <v>50</v>
      </c>
      <c r="B136" s="15">
        <v>15</v>
      </c>
      <c r="C136" s="78" t="s">
        <v>66</v>
      </c>
      <c r="D136" s="5">
        <v>2237868</v>
      </c>
      <c r="E136" s="5">
        <v>375000</v>
      </c>
      <c r="F136" s="6">
        <f t="shared" si="5"/>
        <v>2612868</v>
      </c>
      <c r="G136" s="5"/>
      <c r="H136" s="5"/>
      <c r="I136" s="6">
        <f aca="true" t="shared" si="7" ref="I136:I141">SUM(G136:H136)</f>
        <v>0</v>
      </c>
    </row>
    <row r="137" spans="1:9" ht="15">
      <c r="A137" s="15">
        <v>51</v>
      </c>
      <c r="B137" s="15">
        <v>16</v>
      </c>
      <c r="C137" s="19" t="s">
        <v>67</v>
      </c>
      <c r="D137" s="5">
        <v>950000</v>
      </c>
      <c r="E137" s="5"/>
      <c r="F137" s="6">
        <f t="shared" si="5"/>
        <v>950000</v>
      </c>
      <c r="G137" s="5"/>
      <c r="H137" s="5"/>
      <c r="I137" s="6">
        <f t="shared" si="7"/>
        <v>0</v>
      </c>
    </row>
    <row r="138" spans="1:9" ht="15">
      <c r="A138" s="15">
        <v>52</v>
      </c>
      <c r="B138" s="15">
        <v>17</v>
      </c>
      <c r="C138" s="19" t="s">
        <v>68</v>
      </c>
      <c r="D138" s="5"/>
      <c r="E138" s="5"/>
      <c r="F138" s="6">
        <f t="shared" si="5"/>
        <v>0</v>
      </c>
      <c r="G138" s="5"/>
      <c r="H138" s="5"/>
      <c r="I138" s="6">
        <f t="shared" si="7"/>
        <v>0</v>
      </c>
    </row>
    <row r="139" spans="1:9" ht="15">
      <c r="A139" s="15">
        <v>53</v>
      </c>
      <c r="B139" s="15">
        <v>18</v>
      </c>
      <c r="C139" s="19" t="s">
        <v>69</v>
      </c>
      <c r="D139" s="5">
        <v>260000</v>
      </c>
      <c r="E139" s="5">
        <v>615547</v>
      </c>
      <c r="F139" s="6">
        <f t="shared" si="5"/>
        <v>875547</v>
      </c>
      <c r="G139" s="5">
        <v>615547</v>
      </c>
      <c r="H139" s="5">
        <v>260000</v>
      </c>
      <c r="I139" s="6">
        <f t="shared" si="7"/>
        <v>875547</v>
      </c>
    </row>
    <row r="140" spans="1:9" ht="15">
      <c r="A140" s="15">
        <v>54</v>
      </c>
      <c r="B140" s="15">
        <v>19</v>
      </c>
      <c r="C140" s="19" t="s">
        <v>70</v>
      </c>
      <c r="D140" s="5"/>
      <c r="E140" s="5"/>
      <c r="F140" s="6">
        <f t="shared" si="5"/>
        <v>0</v>
      </c>
      <c r="G140" s="5"/>
      <c r="H140" s="5"/>
      <c r="I140" s="6">
        <f t="shared" si="7"/>
        <v>0</v>
      </c>
    </row>
    <row r="141" spans="1:9" ht="15">
      <c r="A141" s="15">
        <v>55</v>
      </c>
      <c r="B141" s="15">
        <v>20</v>
      </c>
      <c r="C141" s="19" t="s">
        <v>71</v>
      </c>
      <c r="D141" s="5">
        <v>393470</v>
      </c>
      <c r="E141" s="5"/>
      <c r="F141" s="6">
        <f t="shared" si="5"/>
        <v>393470</v>
      </c>
      <c r="G141" s="5">
        <v>393470</v>
      </c>
      <c r="H141" s="5">
        <v>295000</v>
      </c>
      <c r="I141" s="6">
        <f t="shared" si="7"/>
        <v>688470</v>
      </c>
    </row>
    <row r="142" spans="1:13" ht="15">
      <c r="A142" s="224" t="s">
        <v>5</v>
      </c>
      <c r="B142" s="225"/>
      <c r="C142" s="225"/>
      <c r="D142" s="7">
        <f>SUM(D122:D141)</f>
        <v>8380756</v>
      </c>
      <c r="E142" s="7">
        <f>SUM(E122:E141)</f>
        <v>3320047</v>
      </c>
      <c r="F142" s="7">
        <f>SUM(D142:E142)</f>
        <v>11700803</v>
      </c>
      <c r="G142" s="7">
        <f>SUM(G122:G141)</f>
        <v>10857517</v>
      </c>
      <c r="H142" s="7">
        <f>SUM(H122:H141)</f>
        <v>7882500</v>
      </c>
      <c r="I142" s="7">
        <f>SUM(G142:H142)</f>
        <v>18740017</v>
      </c>
      <c r="M142" t="s">
        <v>348</v>
      </c>
    </row>
    <row r="143" spans="1:9" ht="15">
      <c r="A143" s="234" t="s">
        <v>72</v>
      </c>
      <c r="B143" s="235"/>
      <c r="C143" s="235"/>
      <c r="D143" s="235"/>
      <c r="E143" s="235"/>
      <c r="F143" s="235"/>
      <c r="G143" s="235"/>
      <c r="H143" s="235"/>
      <c r="I143" s="236"/>
    </row>
    <row r="144" spans="1:9" ht="15">
      <c r="A144" s="15">
        <v>56</v>
      </c>
      <c r="B144" s="15">
        <v>1</v>
      </c>
      <c r="C144" s="20" t="s">
        <v>73</v>
      </c>
      <c r="D144" s="5">
        <v>1350440</v>
      </c>
      <c r="E144" s="5">
        <v>810000</v>
      </c>
      <c r="F144" s="6">
        <f>SUM(D144:E144)</f>
        <v>2160440</v>
      </c>
      <c r="G144" s="5">
        <v>1350440</v>
      </c>
      <c r="H144" s="5">
        <v>810000</v>
      </c>
      <c r="I144" s="6">
        <f>SUM(G144:H144)</f>
        <v>2160440</v>
      </c>
    </row>
    <row r="145" spans="1:9" ht="15">
      <c r="A145" s="15">
        <v>57</v>
      </c>
      <c r="B145" s="15">
        <v>2</v>
      </c>
      <c r="C145" s="20" t="s">
        <v>74</v>
      </c>
      <c r="D145" s="5">
        <v>342500</v>
      </c>
      <c r="E145" s="5">
        <v>157000</v>
      </c>
      <c r="F145" s="6">
        <f>SUM(D145:E145)</f>
        <v>499500</v>
      </c>
      <c r="G145" s="5">
        <v>342500</v>
      </c>
      <c r="H145" s="5">
        <v>157000</v>
      </c>
      <c r="I145" s="6">
        <f>SUM(G145:H145)</f>
        <v>499500</v>
      </c>
    </row>
    <row r="146" spans="1:9" ht="15">
      <c r="A146" s="15">
        <v>58</v>
      </c>
      <c r="B146" s="15">
        <v>3</v>
      </c>
      <c r="C146" s="20" t="s">
        <v>75</v>
      </c>
      <c r="D146" s="5">
        <f>1005200*2</f>
        <v>2010400</v>
      </c>
      <c r="E146" s="5">
        <f>1133000*2</f>
        <v>2266000</v>
      </c>
      <c r="F146" s="6">
        <f aca="true" t="shared" si="8" ref="F146:F163">SUM(D146:E146)</f>
        <v>4276400</v>
      </c>
      <c r="G146" s="5">
        <v>1005200</v>
      </c>
      <c r="H146" s="5">
        <v>1133000</v>
      </c>
      <c r="I146" s="6">
        <f aca="true" t="shared" si="9" ref="I146:I163">SUM(G146:H146)</f>
        <v>2138200</v>
      </c>
    </row>
    <row r="147" spans="1:9" ht="15">
      <c r="A147" s="15">
        <v>59</v>
      </c>
      <c r="B147" s="15">
        <v>4</v>
      </c>
      <c r="C147" s="20" t="s">
        <v>76</v>
      </c>
      <c r="D147" s="5"/>
      <c r="E147" s="5"/>
      <c r="F147" s="6">
        <f t="shared" si="8"/>
        <v>0</v>
      </c>
      <c r="G147" s="5"/>
      <c r="H147" s="5">
        <f>300000*2</f>
        <v>600000</v>
      </c>
      <c r="I147" s="6">
        <f t="shared" si="9"/>
        <v>600000</v>
      </c>
    </row>
    <row r="148" spans="1:9" ht="15">
      <c r="A148" s="15">
        <v>60</v>
      </c>
      <c r="B148" s="15">
        <v>5</v>
      </c>
      <c r="C148" s="22" t="s">
        <v>77</v>
      </c>
      <c r="D148" s="5"/>
      <c r="E148" s="5"/>
      <c r="F148" s="6">
        <f t="shared" si="8"/>
        <v>0</v>
      </c>
      <c r="G148" s="5"/>
      <c r="H148" s="5"/>
      <c r="I148" s="6">
        <f t="shared" si="9"/>
        <v>0</v>
      </c>
    </row>
    <row r="149" spans="1:9" ht="15">
      <c r="A149" s="15">
        <v>61</v>
      </c>
      <c r="B149" s="15">
        <v>6</v>
      </c>
      <c r="C149" s="20" t="s">
        <v>78</v>
      </c>
      <c r="D149" s="5">
        <v>1044000</v>
      </c>
      <c r="E149" s="5">
        <v>1254500</v>
      </c>
      <c r="F149" s="6">
        <f t="shared" si="8"/>
        <v>2298500</v>
      </c>
      <c r="G149" s="5">
        <v>1044000</v>
      </c>
      <c r="H149" s="5">
        <v>1254500</v>
      </c>
      <c r="I149" s="6">
        <f t="shared" si="9"/>
        <v>2298500</v>
      </c>
    </row>
    <row r="150" spans="1:9" ht="15">
      <c r="A150" s="15">
        <v>62</v>
      </c>
      <c r="B150" s="15">
        <v>7</v>
      </c>
      <c r="C150" s="20" t="s">
        <v>79</v>
      </c>
      <c r="D150" s="5">
        <v>330000</v>
      </c>
      <c r="E150" s="5">
        <v>400000</v>
      </c>
      <c r="F150" s="6">
        <f t="shared" si="8"/>
        <v>730000</v>
      </c>
      <c r="G150" s="5">
        <v>329000</v>
      </c>
      <c r="H150" s="5">
        <v>400000</v>
      </c>
      <c r="I150" s="6">
        <f t="shared" si="9"/>
        <v>729000</v>
      </c>
    </row>
    <row r="151" spans="1:9" ht="15">
      <c r="A151" s="15">
        <v>63</v>
      </c>
      <c r="B151" s="15">
        <v>8</v>
      </c>
      <c r="C151" s="20" t="s">
        <v>80</v>
      </c>
      <c r="D151" s="5">
        <v>994000</v>
      </c>
      <c r="E151" s="5">
        <v>480700</v>
      </c>
      <c r="F151" s="6">
        <f t="shared" si="8"/>
        <v>1474700</v>
      </c>
      <c r="G151" s="5">
        <v>994000</v>
      </c>
      <c r="H151" s="5">
        <v>480700</v>
      </c>
      <c r="I151" s="6">
        <f t="shared" si="9"/>
        <v>1474700</v>
      </c>
    </row>
    <row r="152" spans="1:9" ht="15">
      <c r="A152" s="15">
        <v>64</v>
      </c>
      <c r="B152" s="15">
        <v>9</v>
      </c>
      <c r="C152" s="20" t="s">
        <v>81</v>
      </c>
      <c r="D152" s="5">
        <v>369000</v>
      </c>
      <c r="E152" s="5">
        <v>369000</v>
      </c>
      <c r="F152" s="6">
        <f t="shared" si="8"/>
        <v>738000</v>
      </c>
      <c r="G152" s="5">
        <v>369000</v>
      </c>
      <c r="H152" s="5">
        <v>369000</v>
      </c>
      <c r="I152" s="6">
        <f t="shared" si="9"/>
        <v>738000</v>
      </c>
    </row>
    <row r="153" spans="1:9" ht="15">
      <c r="A153" s="15">
        <v>65</v>
      </c>
      <c r="B153" s="15">
        <v>10</v>
      </c>
      <c r="C153" s="20" t="s">
        <v>82</v>
      </c>
      <c r="D153" s="5">
        <v>357100</v>
      </c>
      <c r="E153" s="5">
        <v>72000</v>
      </c>
      <c r="F153" s="6">
        <f t="shared" si="8"/>
        <v>429100</v>
      </c>
      <c r="G153" s="5">
        <v>357100</v>
      </c>
      <c r="H153" s="5">
        <v>72000</v>
      </c>
      <c r="I153" s="6">
        <f t="shared" si="9"/>
        <v>429100</v>
      </c>
    </row>
    <row r="154" spans="1:9" ht="15">
      <c r="A154" s="15">
        <v>66</v>
      </c>
      <c r="B154" s="15">
        <v>11</v>
      </c>
      <c r="C154" s="20" t="s">
        <v>83</v>
      </c>
      <c r="D154" s="5"/>
      <c r="E154" s="5"/>
      <c r="F154" s="6">
        <f t="shared" si="8"/>
        <v>0</v>
      </c>
      <c r="G154" s="5"/>
      <c r="H154" s="5"/>
      <c r="I154" s="6">
        <f t="shared" si="9"/>
        <v>0</v>
      </c>
    </row>
    <row r="155" spans="1:9" ht="15">
      <c r="A155" s="15">
        <v>67</v>
      </c>
      <c r="B155" s="15">
        <v>12</v>
      </c>
      <c r="C155" s="20" t="s">
        <v>84</v>
      </c>
      <c r="D155" s="5">
        <v>210000</v>
      </c>
      <c r="E155" s="5">
        <v>827000</v>
      </c>
      <c r="F155" s="6">
        <f t="shared" si="8"/>
        <v>1037000</v>
      </c>
      <c r="G155" s="5">
        <v>210000</v>
      </c>
      <c r="H155" s="5">
        <v>827000</v>
      </c>
      <c r="I155" s="6">
        <f t="shared" si="9"/>
        <v>1037000</v>
      </c>
    </row>
    <row r="156" spans="1:9" ht="15">
      <c r="A156" s="15">
        <v>68</v>
      </c>
      <c r="B156" s="15">
        <v>13</v>
      </c>
      <c r="C156" s="20" t="s">
        <v>85</v>
      </c>
      <c r="D156" s="18"/>
      <c r="E156" s="18">
        <v>500000</v>
      </c>
      <c r="F156" s="6">
        <f t="shared" si="8"/>
        <v>500000</v>
      </c>
      <c r="G156" s="18"/>
      <c r="H156" s="18">
        <v>500000</v>
      </c>
      <c r="I156" s="6">
        <f t="shared" si="9"/>
        <v>500000</v>
      </c>
    </row>
    <row r="157" spans="1:9" ht="15">
      <c r="A157" s="15">
        <v>69</v>
      </c>
      <c r="B157" s="15">
        <v>14</v>
      </c>
      <c r="C157" s="22" t="s">
        <v>86</v>
      </c>
      <c r="D157" s="5"/>
      <c r="E157" s="5"/>
      <c r="F157" s="6">
        <f t="shared" si="8"/>
        <v>0</v>
      </c>
      <c r="G157" s="5"/>
      <c r="H157" s="5"/>
      <c r="I157" s="6">
        <f t="shared" si="9"/>
        <v>0</v>
      </c>
    </row>
    <row r="158" spans="1:9" ht="15">
      <c r="A158" s="15">
        <v>70</v>
      </c>
      <c r="B158" s="15">
        <v>15</v>
      </c>
      <c r="C158" s="20" t="s">
        <v>87</v>
      </c>
      <c r="D158" s="5"/>
      <c r="E158" s="5">
        <v>951000</v>
      </c>
      <c r="F158" s="6">
        <f t="shared" si="8"/>
        <v>951000</v>
      </c>
      <c r="G158" s="5"/>
      <c r="H158" s="5">
        <v>926000</v>
      </c>
      <c r="I158" s="6">
        <f t="shared" si="9"/>
        <v>926000</v>
      </c>
    </row>
    <row r="159" spans="1:9" ht="15">
      <c r="A159" s="15">
        <v>71</v>
      </c>
      <c r="B159" s="15">
        <v>16</v>
      </c>
      <c r="C159" s="20" t="s">
        <v>88</v>
      </c>
      <c r="D159" s="5"/>
      <c r="E159" s="5"/>
      <c r="F159" s="6">
        <f t="shared" si="8"/>
        <v>0</v>
      </c>
      <c r="G159" s="5"/>
      <c r="H159" s="5"/>
      <c r="I159" s="6">
        <f t="shared" si="9"/>
        <v>0</v>
      </c>
    </row>
    <row r="160" spans="1:9" ht="15">
      <c r="A160" s="15">
        <v>72</v>
      </c>
      <c r="B160" s="15">
        <v>17</v>
      </c>
      <c r="C160" s="20" t="s">
        <v>89</v>
      </c>
      <c r="D160" s="5"/>
      <c r="E160" s="5"/>
      <c r="F160" s="6">
        <f t="shared" si="8"/>
        <v>0</v>
      </c>
      <c r="G160" s="5"/>
      <c r="H160" s="5"/>
      <c r="I160" s="6">
        <f t="shared" si="9"/>
        <v>0</v>
      </c>
    </row>
    <row r="161" spans="1:9" ht="15">
      <c r="A161" s="15">
        <v>73</v>
      </c>
      <c r="B161" s="15">
        <v>18</v>
      </c>
      <c r="C161" s="19" t="s">
        <v>90</v>
      </c>
      <c r="D161" s="5"/>
      <c r="E161" s="5"/>
      <c r="F161" s="6">
        <f t="shared" si="8"/>
        <v>0</v>
      </c>
      <c r="G161" s="5"/>
      <c r="H161" s="5"/>
      <c r="I161" s="6">
        <f t="shared" si="9"/>
        <v>0</v>
      </c>
    </row>
    <row r="162" spans="1:9" ht="15">
      <c r="A162" s="15">
        <v>74</v>
      </c>
      <c r="B162" s="15">
        <v>19</v>
      </c>
      <c r="C162" s="19" t="s">
        <v>91</v>
      </c>
      <c r="D162" s="5">
        <v>842600</v>
      </c>
      <c r="E162" s="5">
        <v>125000</v>
      </c>
      <c r="F162" s="6">
        <f t="shared" si="8"/>
        <v>967600</v>
      </c>
      <c r="G162" s="5">
        <v>842600</v>
      </c>
      <c r="H162" s="5">
        <v>125000</v>
      </c>
      <c r="I162" s="6">
        <f t="shared" si="9"/>
        <v>967600</v>
      </c>
    </row>
    <row r="163" spans="1:9" ht="15">
      <c r="A163" s="15">
        <v>75</v>
      </c>
      <c r="B163" s="15">
        <v>20</v>
      </c>
      <c r="C163" s="19" t="s">
        <v>92</v>
      </c>
      <c r="D163" s="5">
        <v>341500</v>
      </c>
      <c r="E163" s="5">
        <v>578500</v>
      </c>
      <c r="F163" s="6">
        <f t="shared" si="8"/>
        <v>920000</v>
      </c>
      <c r="G163" s="5">
        <v>341500</v>
      </c>
      <c r="H163" s="5">
        <v>590700</v>
      </c>
      <c r="I163" s="6">
        <f t="shared" si="9"/>
        <v>932200</v>
      </c>
    </row>
    <row r="164" spans="1:9" ht="15">
      <c r="A164" s="224" t="s">
        <v>5</v>
      </c>
      <c r="B164" s="225"/>
      <c r="C164" s="225"/>
      <c r="D164" s="7">
        <f>SUM(D144:D163)</f>
        <v>8191540</v>
      </c>
      <c r="E164" s="7">
        <f>SUM(E144:E163)</f>
        <v>8790700</v>
      </c>
      <c r="F164" s="7">
        <f>SUM(D164:E164)</f>
        <v>16982240</v>
      </c>
      <c r="G164" s="7">
        <f>SUM(G144:G163)</f>
        <v>7185340</v>
      </c>
      <c r="H164" s="7">
        <f>SUM(H144:H163)</f>
        <v>8244900</v>
      </c>
      <c r="I164" s="7">
        <f>SUM(G164:H164)</f>
        <v>15430240</v>
      </c>
    </row>
    <row r="165" spans="1:9" ht="15">
      <c r="A165" s="224" t="s">
        <v>93</v>
      </c>
      <c r="B165" s="225"/>
      <c r="C165" s="225"/>
      <c r="D165" s="225"/>
      <c r="E165" s="225"/>
      <c r="F165" s="225"/>
      <c r="G165" s="225"/>
      <c r="H165" s="225"/>
      <c r="I165" s="226"/>
    </row>
    <row r="166" spans="1:9" ht="15">
      <c r="A166" s="15">
        <v>76</v>
      </c>
      <c r="B166" s="15">
        <v>1</v>
      </c>
      <c r="C166" s="19" t="s">
        <v>94</v>
      </c>
      <c r="D166" s="5">
        <v>893543</v>
      </c>
      <c r="E166" s="5">
        <v>97500</v>
      </c>
      <c r="F166" s="6">
        <f>SUM(D166:E166)</f>
        <v>991043</v>
      </c>
      <c r="G166" s="5">
        <v>895885</v>
      </c>
      <c r="H166" s="5">
        <v>97500</v>
      </c>
      <c r="I166" s="6">
        <f>SUM(G166:H166)</f>
        <v>993385</v>
      </c>
    </row>
    <row r="167" spans="1:9" ht="15">
      <c r="A167" s="15">
        <v>77</v>
      </c>
      <c r="B167" s="15">
        <v>2</v>
      </c>
      <c r="C167" s="19" t="s">
        <v>95</v>
      </c>
      <c r="D167" s="5"/>
      <c r="E167" s="5">
        <v>40000</v>
      </c>
      <c r="F167" s="6">
        <f aca="true" t="shared" si="10" ref="F167:F188">SUM(D167:E167)</f>
        <v>40000</v>
      </c>
      <c r="G167" s="5"/>
      <c r="H167" s="5">
        <v>20000</v>
      </c>
      <c r="I167" s="6">
        <f aca="true" t="shared" si="11" ref="I167:I185">SUM(G167:H167)</f>
        <v>20000</v>
      </c>
    </row>
    <row r="168" spans="1:9" ht="15">
      <c r="A168" s="15">
        <v>78</v>
      </c>
      <c r="B168" s="15">
        <v>3</v>
      </c>
      <c r="C168" s="19" t="s">
        <v>96</v>
      </c>
      <c r="D168" s="5">
        <f>55000+355000</f>
        <v>410000</v>
      </c>
      <c r="E168" s="5">
        <f>450000+40000+240000+75000+280000</f>
        <v>1085000</v>
      </c>
      <c r="F168" s="6">
        <f t="shared" si="10"/>
        <v>1495000</v>
      </c>
      <c r="G168" s="5"/>
      <c r="H168" s="5">
        <f>80000+40000+245000</f>
        <v>365000</v>
      </c>
      <c r="I168" s="6">
        <f t="shared" si="11"/>
        <v>365000</v>
      </c>
    </row>
    <row r="169" spans="1:9" ht="15">
      <c r="A169" s="15">
        <v>79</v>
      </c>
      <c r="B169" s="15">
        <v>4</v>
      </c>
      <c r="C169" s="19" t="s">
        <v>97</v>
      </c>
      <c r="D169" s="5"/>
      <c r="E169" s="5"/>
      <c r="F169" s="6">
        <f t="shared" si="10"/>
        <v>0</v>
      </c>
      <c r="G169" s="5"/>
      <c r="H169" s="5"/>
      <c r="I169" s="6">
        <f t="shared" si="11"/>
        <v>0</v>
      </c>
    </row>
    <row r="170" spans="1:9" ht="15">
      <c r="A170" s="15">
        <v>80</v>
      </c>
      <c r="B170" s="15">
        <v>5</v>
      </c>
      <c r="C170" s="19" t="s">
        <v>98</v>
      </c>
      <c r="D170" s="5"/>
      <c r="E170" s="5"/>
      <c r="F170" s="6">
        <f t="shared" si="10"/>
        <v>0</v>
      </c>
      <c r="G170" s="5"/>
      <c r="H170" s="5">
        <f>78000*8+82000+80000*3</f>
        <v>946000</v>
      </c>
      <c r="I170" s="6">
        <f t="shared" si="11"/>
        <v>946000</v>
      </c>
    </row>
    <row r="171" spans="1:9" ht="15">
      <c r="A171" s="15">
        <v>81</v>
      </c>
      <c r="B171" s="15">
        <v>6</v>
      </c>
      <c r="C171" s="20" t="s">
        <v>99</v>
      </c>
      <c r="D171" s="5"/>
      <c r="E171" s="5"/>
      <c r="F171" s="6">
        <f t="shared" si="10"/>
        <v>0</v>
      </c>
      <c r="G171" s="5">
        <v>20000000</v>
      </c>
      <c r="H171" s="5"/>
      <c r="I171" s="6">
        <f t="shared" si="11"/>
        <v>20000000</v>
      </c>
    </row>
    <row r="172" spans="1:9" ht="15">
      <c r="A172" s="15">
        <v>82</v>
      </c>
      <c r="B172" s="15">
        <v>7</v>
      </c>
      <c r="C172" s="19" t="s">
        <v>100</v>
      </c>
      <c r="D172" s="5"/>
      <c r="E172" s="5"/>
      <c r="F172" s="6">
        <f t="shared" si="10"/>
        <v>0</v>
      </c>
      <c r="G172" s="5"/>
      <c r="H172" s="5"/>
      <c r="I172" s="6">
        <f t="shared" si="11"/>
        <v>0</v>
      </c>
    </row>
    <row r="173" spans="1:9" ht="15">
      <c r="A173" s="15">
        <v>83</v>
      </c>
      <c r="B173" s="15">
        <v>8</v>
      </c>
      <c r="C173" s="19" t="s">
        <v>101</v>
      </c>
      <c r="D173" s="5"/>
      <c r="E173" s="5"/>
      <c r="F173" s="6">
        <f t="shared" si="10"/>
        <v>0</v>
      </c>
      <c r="G173" s="5"/>
      <c r="H173" s="5"/>
      <c r="I173" s="6">
        <f t="shared" si="11"/>
        <v>0</v>
      </c>
    </row>
    <row r="174" spans="1:9" ht="15">
      <c r="A174" s="15">
        <v>84</v>
      </c>
      <c r="B174" s="15">
        <v>9</v>
      </c>
      <c r="C174" s="19" t="s">
        <v>102</v>
      </c>
      <c r="D174" s="5"/>
      <c r="E174" s="5"/>
      <c r="F174" s="6">
        <f t="shared" si="10"/>
        <v>0</v>
      </c>
      <c r="G174" s="5"/>
      <c r="H174" s="5"/>
      <c r="I174" s="6">
        <f t="shared" si="11"/>
        <v>0</v>
      </c>
    </row>
    <row r="175" spans="1:9" ht="15">
      <c r="A175" s="15">
        <v>85</v>
      </c>
      <c r="B175" s="15">
        <v>10</v>
      </c>
      <c r="C175" s="19" t="s">
        <v>103</v>
      </c>
      <c r="D175" s="5"/>
      <c r="E175" s="5"/>
      <c r="F175" s="6">
        <f t="shared" si="10"/>
        <v>0</v>
      </c>
      <c r="G175" s="5"/>
      <c r="H175" s="5"/>
      <c r="I175" s="6">
        <f t="shared" si="11"/>
        <v>0</v>
      </c>
    </row>
    <row r="176" spans="1:9" ht="15">
      <c r="A176" s="15">
        <v>86</v>
      </c>
      <c r="B176" s="15">
        <v>11</v>
      </c>
      <c r="C176" s="19" t="s">
        <v>104</v>
      </c>
      <c r="D176" s="5">
        <v>5579281</v>
      </c>
      <c r="E176" s="5"/>
      <c r="F176" s="6">
        <f t="shared" si="10"/>
        <v>5579281</v>
      </c>
      <c r="G176" s="5"/>
      <c r="H176" s="5"/>
      <c r="I176" s="6">
        <f t="shared" si="11"/>
        <v>0</v>
      </c>
    </row>
    <row r="177" spans="1:9" ht="15">
      <c r="A177" s="15">
        <v>87</v>
      </c>
      <c r="B177" s="15">
        <v>12</v>
      </c>
      <c r="C177" s="19" t="s">
        <v>105</v>
      </c>
      <c r="D177" s="5"/>
      <c r="E177" s="5"/>
      <c r="F177" s="6">
        <f t="shared" si="10"/>
        <v>0</v>
      </c>
      <c r="G177" s="5"/>
      <c r="H177" s="5"/>
      <c r="I177" s="6">
        <f t="shared" si="11"/>
        <v>0</v>
      </c>
    </row>
    <row r="178" spans="1:9" ht="15">
      <c r="A178" s="15">
        <v>88</v>
      </c>
      <c r="B178" s="15">
        <v>13</v>
      </c>
      <c r="C178" s="19" t="s">
        <v>106</v>
      </c>
      <c r="D178" s="5"/>
      <c r="E178" s="5"/>
      <c r="F178" s="6">
        <f t="shared" si="10"/>
        <v>0</v>
      </c>
      <c r="G178" s="5"/>
      <c r="H178" s="5"/>
      <c r="I178" s="6">
        <f t="shared" si="11"/>
        <v>0</v>
      </c>
    </row>
    <row r="179" spans="1:9" ht="15">
      <c r="A179" s="15">
        <v>89</v>
      </c>
      <c r="B179" s="15">
        <v>14</v>
      </c>
      <c r="C179" s="19" t="s">
        <v>251</v>
      </c>
      <c r="D179" s="5"/>
      <c r="E179" s="5">
        <v>59000</v>
      </c>
      <c r="F179" s="6">
        <f t="shared" si="10"/>
        <v>59000</v>
      </c>
      <c r="G179" s="5"/>
      <c r="H179" s="5">
        <v>59000</v>
      </c>
      <c r="I179" s="6">
        <f t="shared" si="11"/>
        <v>59000</v>
      </c>
    </row>
    <row r="180" spans="1:9" ht="15">
      <c r="A180" s="15">
        <v>90</v>
      </c>
      <c r="B180" s="15">
        <v>15</v>
      </c>
      <c r="C180" s="19" t="s">
        <v>108</v>
      </c>
      <c r="D180" s="5">
        <v>477000</v>
      </c>
      <c r="E180" s="5"/>
      <c r="F180" s="6">
        <f t="shared" si="10"/>
        <v>477000</v>
      </c>
      <c r="G180" s="5">
        <v>477000</v>
      </c>
      <c r="H180" s="5">
        <v>455000</v>
      </c>
      <c r="I180" s="6">
        <f t="shared" si="11"/>
        <v>932000</v>
      </c>
    </row>
    <row r="181" spans="1:9" ht="15">
      <c r="A181" s="15">
        <v>91</v>
      </c>
      <c r="B181" s="15">
        <v>16</v>
      </c>
      <c r="C181" s="19" t="s">
        <v>109</v>
      </c>
      <c r="D181" s="5">
        <f>919100</f>
        <v>919100</v>
      </c>
      <c r="E181" s="5">
        <f>325000+401000</f>
        <v>726000</v>
      </c>
      <c r="F181" s="6">
        <f t="shared" si="10"/>
        <v>1645100</v>
      </c>
      <c r="G181" s="5">
        <v>919100</v>
      </c>
      <c r="H181" s="5">
        <f>401000+325000</f>
        <v>726000</v>
      </c>
      <c r="I181" s="6">
        <f t="shared" si="11"/>
        <v>1645100</v>
      </c>
    </row>
    <row r="182" spans="1:9" ht="15">
      <c r="A182" s="15">
        <v>92</v>
      </c>
      <c r="B182" s="15">
        <v>17</v>
      </c>
      <c r="C182" s="19" t="s">
        <v>110</v>
      </c>
      <c r="D182" s="5"/>
      <c r="E182" s="5"/>
      <c r="F182" s="6">
        <f t="shared" si="10"/>
        <v>0</v>
      </c>
      <c r="G182" s="5"/>
      <c r="H182" s="5"/>
      <c r="I182" s="6">
        <f t="shared" si="11"/>
        <v>0</v>
      </c>
    </row>
    <row r="183" spans="1:9" ht="15">
      <c r="A183" s="15">
        <v>93</v>
      </c>
      <c r="B183" s="15">
        <v>18</v>
      </c>
      <c r="C183" s="19" t="s">
        <v>111</v>
      </c>
      <c r="D183" s="5"/>
      <c r="E183" s="5"/>
      <c r="F183" s="6">
        <f t="shared" si="10"/>
        <v>0</v>
      </c>
      <c r="G183" s="5"/>
      <c r="H183" s="5"/>
      <c r="I183" s="6">
        <f t="shared" si="11"/>
        <v>0</v>
      </c>
    </row>
    <row r="184" spans="1:9" ht="15">
      <c r="A184" s="15">
        <v>94</v>
      </c>
      <c r="B184" s="15">
        <v>19</v>
      </c>
      <c r="C184" s="19" t="s">
        <v>112</v>
      </c>
      <c r="D184" s="5"/>
      <c r="E184" s="5"/>
      <c r="F184" s="6">
        <f t="shared" si="10"/>
        <v>0</v>
      </c>
      <c r="G184" s="5"/>
      <c r="H184" s="5"/>
      <c r="I184" s="6">
        <f t="shared" si="11"/>
        <v>0</v>
      </c>
    </row>
    <row r="185" spans="1:9" ht="15">
      <c r="A185" s="15">
        <v>95</v>
      </c>
      <c r="B185" s="15">
        <v>20</v>
      </c>
      <c r="C185" s="19" t="s">
        <v>113</v>
      </c>
      <c r="D185" s="5"/>
      <c r="E185" s="5"/>
      <c r="F185" s="6">
        <f t="shared" si="10"/>
        <v>0</v>
      </c>
      <c r="G185" s="5"/>
      <c r="H185" s="5"/>
      <c r="I185" s="6">
        <f t="shared" si="11"/>
        <v>0</v>
      </c>
    </row>
    <row r="186" spans="1:9" ht="15">
      <c r="A186" s="15">
        <v>96</v>
      </c>
      <c r="B186" s="15">
        <v>21</v>
      </c>
      <c r="C186" s="19" t="s">
        <v>114</v>
      </c>
      <c r="D186" s="5"/>
      <c r="E186" s="5"/>
      <c r="F186" s="6">
        <f>SUM(D186:E186)</f>
        <v>0</v>
      </c>
      <c r="G186" s="5"/>
      <c r="H186" s="5"/>
      <c r="I186" s="6">
        <f>SUM(G186:H186)</f>
        <v>0</v>
      </c>
    </row>
    <row r="187" spans="1:9" ht="15">
      <c r="A187" s="15">
        <v>97</v>
      </c>
      <c r="B187" s="15">
        <v>22</v>
      </c>
      <c r="C187" s="19" t="s">
        <v>115</v>
      </c>
      <c r="D187" s="5"/>
      <c r="E187" s="5"/>
      <c r="F187" s="6">
        <f t="shared" si="10"/>
        <v>0</v>
      </c>
      <c r="G187" s="5"/>
      <c r="H187" s="5"/>
      <c r="I187" s="6">
        <f>SUM(G187:H187)</f>
        <v>0</v>
      </c>
    </row>
    <row r="188" spans="1:9" ht="15">
      <c r="A188" s="15">
        <v>98</v>
      </c>
      <c r="B188" s="15">
        <v>23</v>
      </c>
      <c r="C188" s="19" t="s">
        <v>116</v>
      </c>
      <c r="D188" s="5"/>
      <c r="E188" s="5"/>
      <c r="F188" s="6">
        <f t="shared" si="10"/>
        <v>0</v>
      </c>
      <c r="G188" s="5">
        <v>126000</v>
      </c>
      <c r="H188" s="5">
        <v>10000</v>
      </c>
      <c r="I188" s="6">
        <f>SUM(G188:H188)</f>
        <v>136000</v>
      </c>
    </row>
    <row r="189" spans="1:9" ht="15">
      <c r="A189" s="224" t="s">
        <v>5</v>
      </c>
      <c r="B189" s="225"/>
      <c r="C189" s="225"/>
      <c r="D189" s="7">
        <f>SUM(D166:D188)</f>
        <v>8278924</v>
      </c>
      <c r="E189" s="7">
        <f>SUM(E166:E188)</f>
        <v>2007500</v>
      </c>
      <c r="F189" s="7">
        <f>SUM(D189:E189)</f>
        <v>10286424</v>
      </c>
      <c r="G189" s="7">
        <f>SUM(G166:G188)</f>
        <v>22417985</v>
      </c>
      <c r="H189" s="7">
        <f>SUM(H166:H188)</f>
        <v>2678500</v>
      </c>
      <c r="I189" s="7">
        <f>SUM(G189:H189)</f>
        <v>25096485</v>
      </c>
    </row>
    <row r="190" spans="1:9" ht="15">
      <c r="A190" s="224" t="s">
        <v>117</v>
      </c>
      <c r="B190" s="225"/>
      <c r="C190" s="225"/>
      <c r="D190" s="225"/>
      <c r="E190" s="225"/>
      <c r="F190" s="225"/>
      <c r="G190" s="225"/>
      <c r="H190" s="225"/>
      <c r="I190" s="226"/>
    </row>
    <row r="191" spans="1:9" ht="15">
      <c r="A191" s="15">
        <v>99</v>
      </c>
      <c r="B191" s="15">
        <v>1</v>
      </c>
      <c r="C191" s="10" t="s">
        <v>118</v>
      </c>
      <c r="D191" s="5"/>
      <c r="E191" s="5"/>
      <c r="F191" s="6">
        <f>SUM(D191:E191)</f>
        <v>0</v>
      </c>
      <c r="G191" s="5"/>
      <c r="H191" s="5"/>
      <c r="I191" s="6">
        <f>SUM(G191:H191)</f>
        <v>0</v>
      </c>
    </row>
    <row r="192" spans="1:9" ht="15">
      <c r="A192" s="15">
        <v>100</v>
      </c>
      <c r="B192" s="15">
        <v>2</v>
      </c>
      <c r="C192" s="17" t="s">
        <v>119</v>
      </c>
      <c r="D192" s="5">
        <v>441900</v>
      </c>
      <c r="E192" s="5">
        <v>72200</v>
      </c>
      <c r="F192" s="6">
        <f aca="true" t="shared" si="12" ref="F192:F243">SUM(D192:E192)</f>
        <v>514100</v>
      </c>
      <c r="G192" s="5">
        <v>441900</v>
      </c>
      <c r="H192" s="5">
        <v>72200</v>
      </c>
      <c r="I192" s="6">
        <f aca="true" t="shared" si="13" ref="I192:I200">SUM(G192:H192)</f>
        <v>514100</v>
      </c>
    </row>
    <row r="193" spans="1:9" ht="15">
      <c r="A193" s="15">
        <v>101</v>
      </c>
      <c r="B193" s="15">
        <v>3</v>
      </c>
      <c r="C193" s="17" t="s">
        <v>120</v>
      </c>
      <c r="D193" s="5"/>
      <c r="E193" s="5"/>
      <c r="F193" s="6">
        <f t="shared" si="12"/>
        <v>0</v>
      </c>
      <c r="G193" s="5"/>
      <c r="H193" s="5">
        <f>160000+80000</f>
        <v>240000</v>
      </c>
      <c r="I193" s="6">
        <f t="shared" si="13"/>
        <v>240000</v>
      </c>
    </row>
    <row r="194" spans="1:9" ht="15">
      <c r="A194" s="15">
        <v>102</v>
      </c>
      <c r="B194" s="15">
        <v>4</v>
      </c>
      <c r="C194" s="10" t="s">
        <v>121</v>
      </c>
      <c r="D194" s="5"/>
      <c r="E194" s="5"/>
      <c r="F194" s="6">
        <f t="shared" si="12"/>
        <v>0</v>
      </c>
      <c r="G194" s="5">
        <v>1536000</v>
      </c>
      <c r="H194" s="5">
        <v>120000</v>
      </c>
      <c r="I194" s="6">
        <f t="shared" si="13"/>
        <v>1656000</v>
      </c>
    </row>
    <row r="195" spans="1:9" ht="15">
      <c r="A195" s="15">
        <v>103</v>
      </c>
      <c r="B195" s="15">
        <v>5</v>
      </c>
      <c r="C195" s="23" t="s">
        <v>122</v>
      </c>
      <c r="D195" s="5"/>
      <c r="E195" s="5"/>
      <c r="F195" s="6">
        <f t="shared" si="12"/>
        <v>0</v>
      </c>
      <c r="G195" s="5"/>
      <c r="H195" s="5"/>
      <c r="I195" s="6">
        <f t="shared" si="13"/>
        <v>0</v>
      </c>
    </row>
    <row r="196" spans="1:9" ht="15">
      <c r="A196" s="15">
        <v>104</v>
      </c>
      <c r="B196" s="15">
        <v>6</v>
      </c>
      <c r="C196" s="23" t="s">
        <v>123</v>
      </c>
      <c r="D196" s="5">
        <v>196000</v>
      </c>
      <c r="E196" s="5">
        <v>340000</v>
      </c>
      <c r="F196" s="6">
        <f t="shared" si="12"/>
        <v>536000</v>
      </c>
      <c r="G196" s="5">
        <v>195300</v>
      </c>
      <c r="H196" s="5">
        <v>340000</v>
      </c>
      <c r="I196" s="6">
        <f t="shared" si="13"/>
        <v>535300</v>
      </c>
    </row>
    <row r="197" spans="1:9" ht="15">
      <c r="A197" s="15">
        <v>105</v>
      </c>
      <c r="B197" s="15">
        <v>7</v>
      </c>
      <c r="C197" s="23" t="s">
        <v>124</v>
      </c>
      <c r="D197" s="5"/>
      <c r="E197" s="5"/>
      <c r="F197" s="6">
        <f t="shared" si="12"/>
        <v>0</v>
      </c>
      <c r="G197" s="5"/>
      <c r="H197" s="5"/>
      <c r="I197" s="6">
        <f t="shared" si="13"/>
        <v>0</v>
      </c>
    </row>
    <row r="198" spans="1:9" ht="15">
      <c r="A198" s="15">
        <v>106</v>
      </c>
      <c r="B198" s="15">
        <v>8</v>
      </c>
      <c r="C198" s="23" t="s">
        <v>125</v>
      </c>
      <c r="D198" s="5"/>
      <c r="E198" s="5"/>
      <c r="F198" s="6">
        <f t="shared" si="12"/>
        <v>0</v>
      </c>
      <c r="G198" s="5"/>
      <c r="H198" s="5"/>
      <c r="I198" s="6">
        <f t="shared" si="13"/>
        <v>0</v>
      </c>
    </row>
    <row r="199" spans="1:9" ht="15">
      <c r="A199" s="15">
        <v>107</v>
      </c>
      <c r="B199" s="15">
        <v>9</v>
      </c>
      <c r="C199" s="23" t="s">
        <v>126</v>
      </c>
      <c r="D199" s="5"/>
      <c r="E199" s="5"/>
      <c r="F199" s="6">
        <f t="shared" si="12"/>
        <v>0</v>
      </c>
      <c r="G199" s="5"/>
      <c r="H199" s="5"/>
      <c r="I199" s="6">
        <f t="shared" si="13"/>
        <v>0</v>
      </c>
    </row>
    <row r="200" spans="1:9" ht="15">
      <c r="A200" s="15">
        <v>108</v>
      </c>
      <c r="B200" s="15">
        <v>10</v>
      </c>
      <c r="C200" s="23" t="s">
        <v>127</v>
      </c>
      <c r="D200" s="5"/>
      <c r="E200" s="5"/>
      <c r="F200" s="6">
        <f t="shared" si="12"/>
        <v>0</v>
      </c>
      <c r="G200" s="5"/>
      <c r="H200" s="5"/>
      <c r="I200" s="6">
        <f t="shared" si="13"/>
        <v>0</v>
      </c>
    </row>
    <row r="201" spans="1:9" ht="15">
      <c r="A201" s="15">
        <v>109</v>
      </c>
      <c r="B201" s="15">
        <v>11</v>
      </c>
      <c r="C201" s="23" t="s">
        <v>129</v>
      </c>
      <c r="D201" s="5"/>
      <c r="E201" s="5"/>
      <c r="F201" s="6">
        <f>SUM(D201:E201)</f>
        <v>0</v>
      </c>
      <c r="G201" s="5"/>
      <c r="H201" s="5"/>
      <c r="I201" s="6">
        <f>SUM(G201:H201)</f>
        <v>0</v>
      </c>
    </row>
    <row r="202" spans="1:9" ht="15">
      <c r="A202" s="15">
        <v>110</v>
      </c>
      <c r="B202" s="15">
        <v>12</v>
      </c>
      <c r="C202" s="24" t="s">
        <v>128</v>
      </c>
      <c r="D202" s="86"/>
      <c r="E202" s="5">
        <v>400000</v>
      </c>
      <c r="F202" s="6">
        <f>SUM(D202:E202)</f>
        <v>400000</v>
      </c>
      <c r="G202" s="86"/>
      <c r="H202" s="5">
        <v>400000</v>
      </c>
      <c r="I202" s="6">
        <f>SUM(G202:H202)</f>
        <v>400000</v>
      </c>
    </row>
    <row r="203" spans="1:9" ht="15">
      <c r="A203" s="15">
        <v>111</v>
      </c>
      <c r="B203" s="15">
        <v>13</v>
      </c>
      <c r="C203" s="23" t="s">
        <v>130</v>
      </c>
      <c r="D203" s="5"/>
      <c r="E203" s="5"/>
      <c r="F203" s="6">
        <f t="shared" si="12"/>
        <v>0</v>
      </c>
      <c r="G203" s="5">
        <v>992800</v>
      </c>
      <c r="H203" s="5">
        <v>1056000</v>
      </c>
      <c r="I203" s="6">
        <f aca="true" t="shared" si="14" ref="I203:I243">SUM(G203:H203)</f>
        <v>2048800</v>
      </c>
    </row>
    <row r="204" spans="1:9" ht="15">
      <c r="A204" s="15">
        <v>112</v>
      </c>
      <c r="B204" s="15">
        <v>14</v>
      </c>
      <c r="C204" s="23" t="s">
        <v>131</v>
      </c>
      <c r="D204" s="5"/>
      <c r="E204" s="5"/>
      <c r="F204" s="6">
        <f t="shared" si="12"/>
        <v>0</v>
      </c>
      <c r="G204" s="5">
        <v>400000</v>
      </c>
      <c r="H204" s="5">
        <v>232000</v>
      </c>
      <c r="I204" s="6">
        <f t="shared" si="14"/>
        <v>632000</v>
      </c>
    </row>
    <row r="205" spans="1:9" ht="15">
      <c r="A205" s="15">
        <v>113</v>
      </c>
      <c r="B205" s="15">
        <v>15</v>
      </c>
      <c r="C205" s="23" t="s">
        <v>132</v>
      </c>
      <c r="D205" s="5"/>
      <c r="E205" s="5">
        <v>46000</v>
      </c>
      <c r="F205" s="6">
        <f t="shared" si="12"/>
        <v>46000</v>
      </c>
      <c r="G205" s="5"/>
      <c r="H205" s="5">
        <v>46000</v>
      </c>
      <c r="I205" s="6">
        <f t="shared" si="14"/>
        <v>46000</v>
      </c>
    </row>
    <row r="206" spans="1:9" ht="15">
      <c r="A206" s="15">
        <v>114</v>
      </c>
      <c r="B206" s="15">
        <v>16</v>
      </c>
      <c r="C206" s="23" t="s">
        <v>133</v>
      </c>
      <c r="D206" s="5"/>
      <c r="E206" s="5"/>
      <c r="F206" s="6">
        <f t="shared" si="12"/>
        <v>0</v>
      </c>
      <c r="G206" s="5"/>
      <c r="H206" s="5"/>
      <c r="I206" s="6">
        <f t="shared" si="14"/>
        <v>0</v>
      </c>
    </row>
    <row r="207" spans="1:9" ht="15">
      <c r="A207" s="15">
        <v>115</v>
      </c>
      <c r="B207" s="15">
        <v>17</v>
      </c>
      <c r="C207" s="23" t="s">
        <v>134</v>
      </c>
      <c r="D207" s="5"/>
      <c r="E207" s="5">
        <v>17000</v>
      </c>
      <c r="F207" s="6">
        <f t="shared" si="12"/>
        <v>17000</v>
      </c>
      <c r="G207" s="5"/>
      <c r="H207" s="5">
        <v>17000</v>
      </c>
      <c r="I207" s="6">
        <f t="shared" si="14"/>
        <v>17000</v>
      </c>
    </row>
    <row r="208" spans="1:9" ht="15">
      <c r="A208" s="15">
        <v>116</v>
      </c>
      <c r="B208" s="15">
        <v>18</v>
      </c>
      <c r="C208" s="23" t="s">
        <v>135</v>
      </c>
      <c r="D208" s="5"/>
      <c r="E208" s="5"/>
      <c r="F208" s="6">
        <f t="shared" si="12"/>
        <v>0</v>
      </c>
      <c r="G208" s="5"/>
      <c r="H208" s="5"/>
      <c r="I208" s="6">
        <f t="shared" si="14"/>
        <v>0</v>
      </c>
    </row>
    <row r="209" spans="1:9" ht="15">
      <c r="A209" s="15">
        <v>117</v>
      </c>
      <c r="B209" s="15">
        <v>19</v>
      </c>
      <c r="C209" s="23" t="s">
        <v>136</v>
      </c>
      <c r="D209" s="5"/>
      <c r="E209" s="5">
        <v>182000</v>
      </c>
      <c r="F209" s="6">
        <f t="shared" si="12"/>
        <v>182000</v>
      </c>
      <c r="G209" s="5"/>
      <c r="H209" s="5"/>
      <c r="I209" s="6">
        <f t="shared" si="14"/>
        <v>0</v>
      </c>
    </row>
    <row r="210" spans="1:9" ht="15">
      <c r="A210" s="15">
        <v>118</v>
      </c>
      <c r="B210" s="15">
        <v>20</v>
      </c>
      <c r="C210" s="23" t="s">
        <v>137</v>
      </c>
      <c r="D210" s="5"/>
      <c r="E210" s="5">
        <v>572000</v>
      </c>
      <c r="F210" s="6">
        <f t="shared" si="12"/>
        <v>572000</v>
      </c>
      <c r="G210" s="5"/>
      <c r="H210" s="5"/>
      <c r="I210" s="6">
        <f t="shared" si="14"/>
        <v>0</v>
      </c>
    </row>
    <row r="211" spans="1:9" ht="15">
      <c r="A211" s="15">
        <v>119</v>
      </c>
      <c r="B211" s="15">
        <v>21</v>
      </c>
      <c r="C211" s="23" t="s">
        <v>138</v>
      </c>
      <c r="D211" s="5"/>
      <c r="E211" s="5">
        <v>145000</v>
      </c>
      <c r="F211" s="6">
        <f t="shared" si="12"/>
        <v>145000</v>
      </c>
      <c r="G211" s="5"/>
      <c r="H211" s="5">
        <v>140000</v>
      </c>
      <c r="I211" s="6">
        <f t="shared" si="14"/>
        <v>140000</v>
      </c>
    </row>
    <row r="212" spans="1:9" ht="15">
      <c r="A212" s="15">
        <v>120</v>
      </c>
      <c r="B212" s="15">
        <v>22</v>
      </c>
      <c r="C212" s="23" t="s">
        <v>139</v>
      </c>
      <c r="D212" s="5"/>
      <c r="E212" s="5">
        <v>165000</v>
      </c>
      <c r="F212" s="6">
        <f t="shared" si="12"/>
        <v>165000</v>
      </c>
      <c r="G212" s="5"/>
      <c r="H212" s="5">
        <v>165000</v>
      </c>
      <c r="I212" s="6">
        <f t="shared" si="14"/>
        <v>165000</v>
      </c>
    </row>
    <row r="213" spans="1:9" ht="15">
      <c r="A213" s="15">
        <v>121</v>
      </c>
      <c r="B213" s="15">
        <v>23</v>
      </c>
      <c r="C213" s="23" t="s">
        <v>140</v>
      </c>
      <c r="D213" s="5"/>
      <c r="E213" s="5"/>
      <c r="F213" s="6">
        <f t="shared" si="12"/>
        <v>0</v>
      </c>
      <c r="G213" s="5"/>
      <c r="H213" s="5"/>
      <c r="I213" s="6">
        <f t="shared" si="14"/>
        <v>0</v>
      </c>
    </row>
    <row r="214" spans="1:9" ht="15">
      <c r="A214" s="15">
        <v>122</v>
      </c>
      <c r="B214" s="15">
        <v>24</v>
      </c>
      <c r="C214" s="23" t="s">
        <v>141</v>
      </c>
      <c r="D214" s="5">
        <v>154000</v>
      </c>
      <c r="E214" s="5">
        <v>670000</v>
      </c>
      <c r="F214" s="6">
        <f t="shared" si="12"/>
        <v>824000</v>
      </c>
      <c r="G214" s="5">
        <v>154000</v>
      </c>
      <c r="H214" s="5">
        <v>670000</v>
      </c>
      <c r="I214" s="6">
        <f t="shared" si="14"/>
        <v>824000</v>
      </c>
    </row>
    <row r="215" spans="1:9" ht="15">
      <c r="A215" s="15">
        <v>123</v>
      </c>
      <c r="B215" s="15">
        <v>25</v>
      </c>
      <c r="C215" s="23" t="s">
        <v>142</v>
      </c>
      <c r="D215" s="5">
        <v>496000</v>
      </c>
      <c r="E215" s="5">
        <v>228000</v>
      </c>
      <c r="F215" s="6">
        <f t="shared" si="12"/>
        <v>724000</v>
      </c>
      <c r="G215" s="5">
        <v>496000</v>
      </c>
      <c r="H215" s="5">
        <v>132000</v>
      </c>
      <c r="I215" s="6">
        <f t="shared" si="14"/>
        <v>628000</v>
      </c>
    </row>
    <row r="216" spans="1:9" ht="15">
      <c r="A216" s="15">
        <v>124</v>
      </c>
      <c r="B216" s="15">
        <v>26</v>
      </c>
      <c r="C216" s="23" t="s">
        <v>143</v>
      </c>
      <c r="D216" s="5"/>
      <c r="E216" s="5"/>
      <c r="F216" s="6">
        <f t="shared" si="12"/>
        <v>0</v>
      </c>
      <c r="G216" s="5"/>
      <c r="H216" s="5"/>
      <c r="I216" s="6">
        <f t="shared" si="14"/>
        <v>0</v>
      </c>
    </row>
    <row r="217" spans="1:9" ht="15">
      <c r="A217" s="15">
        <v>125</v>
      </c>
      <c r="B217" s="15">
        <v>27</v>
      </c>
      <c r="C217" s="23" t="s">
        <v>144</v>
      </c>
      <c r="D217" s="5">
        <v>930000</v>
      </c>
      <c r="E217" s="5"/>
      <c r="F217" s="6">
        <f t="shared" si="12"/>
        <v>930000</v>
      </c>
      <c r="G217" s="5">
        <v>925000</v>
      </c>
      <c r="H217" s="5"/>
      <c r="I217" s="6">
        <f t="shared" si="14"/>
        <v>925000</v>
      </c>
    </row>
    <row r="218" spans="1:9" ht="15">
      <c r="A218" s="15">
        <v>126</v>
      </c>
      <c r="B218" s="15">
        <v>28</v>
      </c>
      <c r="C218" s="23" t="s">
        <v>145</v>
      </c>
      <c r="D218" s="5"/>
      <c r="E218" s="5"/>
      <c r="F218" s="6">
        <f t="shared" si="12"/>
        <v>0</v>
      </c>
      <c r="G218" s="5"/>
      <c r="H218" s="5"/>
      <c r="I218" s="6">
        <f t="shared" si="14"/>
        <v>0</v>
      </c>
    </row>
    <row r="219" spans="1:9" ht="15">
      <c r="A219" s="15">
        <v>127</v>
      </c>
      <c r="B219" s="15">
        <v>29</v>
      </c>
      <c r="C219" s="23" t="s">
        <v>146</v>
      </c>
      <c r="D219" s="5"/>
      <c r="E219" s="5"/>
      <c r="F219" s="6">
        <f t="shared" si="12"/>
        <v>0</v>
      </c>
      <c r="G219" s="5"/>
      <c r="H219" s="5">
        <v>882000</v>
      </c>
      <c r="I219" s="6">
        <f t="shared" si="14"/>
        <v>882000</v>
      </c>
    </row>
    <row r="220" spans="1:9" ht="15">
      <c r="A220" s="15">
        <v>128</v>
      </c>
      <c r="B220" s="15">
        <v>30</v>
      </c>
      <c r="C220" s="23" t="s">
        <v>147</v>
      </c>
      <c r="D220" s="5"/>
      <c r="E220" s="5"/>
      <c r="F220" s="6">
        <f t="shared" si="12"/>
        <v>0</v>
      </c>
      <c r="G220" s="5"/>
      <c r="H220" s="5"/>
      <c r="I220" s="6">
        <f t="shared" si="14"/>
        <v>0</v>
      </c>
    </row>
    <row r="221" spans="1:9" ht="15">
      <c r="A221" s="15">
        <v>129</v>
      </c>
      <c r="B221" s="15">
        <v>31</v>
      </c>
      <c r="C221" s="23" t="s">
        <v>148</v>
      </c>
      <c r="D221" s="5"/>
      <c r="E221" s="5"/>
      <c r="F221" s="6">
        <f t="shared" si="12"/>
        <v>0</v>
      </c>
      <c r="G221" s="5"/>
      <c r="H221" s="5"/>
      <c r="I221" s="6">
        <f t="shared" si="14"/>
        <v>0</v>
      </c>
    </row>
    <row r="222" spans="1:9" ht="15">
      <c r="A222" s="15">
        <v>130</v>
      </c>
      <c r="B222" s="15">
        <v>32</v>
      </c>
      <c r="C222" s="23" t="s">
        <v>149</v>
      </c>
      <c r="D222" s="5"/>
      <c r="E222" s="5">
        <v>110000</v>
      </c>
      <c r="F222" s="6">
        <f t="shared" si="12"/>
        <v>110000</v>
      </c>
      <c r="G222" s="5"/>
      <c r="H222" s="5"/>
      <c r="I222" s="6">
        <f t="shared" si="14"/>
        <v>0</v>
      </c>
    </row>
    <row r="223" spans="1:9" ht="15">
      <c r="A223" s="15">
        <v>131</v>
      </c>
      <c r="B223" s="15">
        <v>33</v>
      </c>
      <c r="C223" s="23" t="s">
        <v>150</v>
      </c>
      <c r="D223" s="5"/>
      <c r="E223" s="5">
        <v>82000</v>
      </c>
      <c r="F223" s="6">
        <f t="shared" si="12"/>
        <v>82000</v>
      </c>
      <c r="G223" s="5">
        <v>82000</v>
      </c>
      <c r="H223" s="5"/>
      <c r="I223" s="6">
        <f t="shared" si="14"/>
        <v>82000</v>
      </c>
    </row>
    <row r="224" spans="1:9" ht="15">
      <c r="A224" s="15">
        <v>132</v>
      </c>
      <c r="B224" s="15">
        <v>34</v>
      </c>
      <c r="C224" s="23" t="s">
        <v>151</v>
      </c>
      <c r="D224" s="5"/>
      <c r="E224" s="5"/>
      <c r="F224" s="6">
        <f t="shared" si="12"/>
        <v>0</v>
      </c>
      <c r="G224" s="5"/>
      <c r="H224" s="5"/>
      <c r="I224" s="6">
        <f t="shared" si="14"/>
        <v>0</v>
      </c>
    </row>
    <row r="225" spans="1:9" ht="15">
      <c r="A225" s="15">
        <v>133</v>
      </c>
      <c r="B225" s="15">
        <v>35</v>
      </c>
      <c r="C225" s="23" t="s">
        <v>152</v>
      </c>
      <c r="D225" s="5"/>
      <c r="E225" s="5"/>
      <c r="F225" s="6">
        <f t="shared" si="12"/>
        <v>0</v>
      </c>
      <c r="G225" s="5"/>
      <c r="H225" s="5"/>
      <c r="I225" s="6">
        <f t="shared" si="14"/>
        <v>0</v>
      </c>
    </row>
    <row r="226" spans="1:9" ht="15">
      <c r="A226" s="15">
        <v>134</v>
      </c>
      <c r="B226" s="15">
        <v>36</v>
      </c>
      <c r="C226" s="23" t="s">
        <v>153</v>
      </c>
      <c r="D226" s="5"/>
      <c r="E226" s="5"/>
      <c r="F226" s="6">
        <f t="shared" si="12"/>
        <v>0</v>
      </c>
      <c r="G226" s="5"/>
      <c r="H226" s="5"/>
      <c r="I226" s="6">
        <f t="shared" si="14"/>
        <v>0</v>
      </c>
    </row>
    <row r="227" spans="1:9" ht="15">
      <c r="A227" s="15">
        <v>135</v>
      </c>
      <c r="B227" s="15">
        <v>37</v>
      </c>
      <c r="C227" s="23" t="s">
        <v>154</v>
      </c>
      <c r="D227" s="5"/>
      <c r="E227" s="5"/>
      <c r="F227" s="6">
        <f t="shared" si="12"/>
        <v>0</v>
      </c>
      <c r="G227" s="5"/>
      <c r="H227" s="5"/>
      <c r="I227" s="6">
        <f t="shared" si="14"/>
        <v>0</v>
      </c>
    </row>
    <row r="228" spans="1:9" ht="15">
      <c r="A228" s="15">
        <v>136</v>
      </c>
      <c r="B228" s="15">
        <v>38</v>
      </c>
      <c r="C228" s="23" t="s">
        <v>155</v>
      </c>
      <c r="D228" s="5"/>
      <c r="E228" s="5"/>
      <c r="F228" s="6">
        <f t="shared" si="12"/>
        <v>0</v>
      </c>
      <c r="G228" s="5"/>
      <c r="H228" s="5"/>
      <c r="I228" s="6">
        <f t="shared" si="14"/>
        <v>0</v>
      </c>
    </row>
    <row r="229" spans="1:9" ht="15">
      <c r="A229" s="15">
        <v>137</v>
      </c>
      <c r="B229" s="15">
        <v>39</v>
      </c>
      <c r="C229" s="23" t="s">
        <v>156</v>
      </c>
      <c r="D229" s="5"/>
      <c r="E229" s="5">
        <v>320000</v>
      </c>
      <c r="F229" s="6">
        <f t="shared" si="12"/>
        <v>320000</v>
      </c>
      <c r="G229" s="5"/>
      <c r="H229" s="5">
        <v>320000</v>
      </c>
      <c r="I229" s="6">
        <f t="shared" si="14"/>
        <v>320000</v>
      </c>
    </row>
    <row r="230" spans="1:9" ht="15">
      <c r="A230" s="15">
        <v>138</v>
      </c>
      <c r="B230" s="15">
        <v>40</v>
      </c>
      <c r="C230" s="23" t="s">
        <v>157</v>
      </c>
      <c r="D230" s="5"/>
      <c r="E230" s="5"/>
      <c r="F230" s="6">
        <f t="shared" si="12"/>
        <v>0</v>
      </c>
      <c r="G230" s="5"/>
      <c r="H230" s="5"/>
      <c r="I230" s="6">
        <f t="shared" si="14"/>
        <v>0</v>
      </c>
    </row>
    <row r="231" spans="1:9" ht="15">
      <c r="A231" s="15">
        <v>139</v>
      </c>
      <c r="B231" s="15">
        <v>41</v>
      </c>
      <c r="C231" s="23" t="s">
        <v>158</v>
      </c>
      <c r="D231" s="5"/>
      <c r="E231" s="5"/>
      <c r="F231" s="6">
        <f t="shared" si="12"/>
        <v>0</v>
      </c>
      <c r="G231" s="5"/>
      <c r="H231" s="5"/>
      <c r="I231" s="6">
        <f t="shared" si="14"/>
        <v>0</v>
      </c>
    </row>
    <row r="232" spans="1:9" ht="15">
      <c r="A232" s="15">
        <v>140</v>
      </c>
      <c r="B232" s="15">
        <v>42</v>
      </c>
      <c r="C232" s="23" t="s">
        <v>159</v>
      </c>
      <c r="D232" s="5"/>
      <c r="E232" s="5"/>
      <c r="F232" s="6">
        <f t="shared" si="12"/>
        <v>0</v>
      </c>
      <c r="G232" s="5"/>
      <c r="H232" s="5"/>
      <c r="I232" s="6">
        <f t="shared" si="14"/>
        <v>0</v>
      </c>
    </row>
    <row r="233" spans="1:9" ht="15">
      <c r="A233" s="15">
        <v>141</v>
      </c>
      <c r="B233" s="15">
        <v>43</v>
      </c>
      <c r="C233" s="23" t="s">
        <v>160</v>
      </c>
      <c r="D233" s="5">
        <v>180000</v>
      </c>
      <c r="E233" s="5"/>
      <c r="F233" s="6">
        <f t="shared" si="12"/>
        <v>180000</v>
      </c>
      <c r="G233" s="5">
        <v>360000</v>
      </c>
      <c r="H233" s="5"/>
      <c r="I233" s="6">
        <f t="shared" si="14"/>
        <v>360000</v>
      </c>
    </row>
    <row r="234" spans="1:9" ht="15">
      <c r="A234" s="15">
        <v>142</v>
      </c>
      <c r="B234" s="15">
        <v>44</v>
      </c>
      <c r="C234" s="23" t="s">
        <v>161</v>
      </c>
      <c r="D234" s="5"/>
      <c r="E234" s="5"/>
      <c r="F234" s="6">
        <f t="shared" si="12"/>
        <v>0</v>
      </c>
      <c r="G234" s="5"/>
      <c r="H234" s="5"/>
      <c r="I234" s="6">
        <f t="shared" si="14"/>
        <v>0</v>
      </c>
    </row>
    <row r="235" spans="1:9" ht="15">
      <c r="A235" s="15">
        <v>143</v>
      </c>
      <c r="B235" s="15">
        <v>45</v>
      </c>
      <c r="C235" s="23" t="s">
        <v>246</v>
      </c>
      <c r="D235" s="5"/>
      <c r="E235" s="5"/>
      <c r="F235" s="6">
        <f>SUM(D235:E235)</f>
        <v>0</v>
      </c>
      <c r="G235" s="5"/>
      <c r="H235" s="5"/>
      <c r="I235" s="6">
        <f>SUM(G235:H235)</f>
        <v>0</v>
      </c>
    </row>
    <row r="236" spans="1:9" ht="15">
      <c r="A236" s="15">
        <v>144</v>
      </c>
      <c r="B236" s="15">
        <v>46</v>
      </c>
      <c r="C236" s="23" t="s">
        <v>169</v>
      </c>
      <c r="D236" s="5"/>
      <c r="E236" s="5"/>
      <c r="F236" s="6">
        <f>SUM(D236:E236)</f>
        <v>0</v>
      </c>
      <c r="G236" s="5"/>
      <c r="H236" s="5">
        <f>36000*4</f>
        <v>144000</v>
      </c>
      <c r="I236" s="6">
        <f>SUM(G236:H236)</f>
        <v>144000</v>
      </c>
    </row>
    <row r="237" spans="1:9" ht="15">
      <c r="A237" s="15">
        <v>145</v>
      </c>
      <c r="B237" s="15">
        <v>47</v>
      </c>
      <c r="C237" s="25" t="s">
        <v>170</v>
      </c>
      <c r="D237" s="5">
        <v>1000000</v>
      </c>
      <c r="E237" s="5"/>
      <c r="F237" s="6">
        <f>SUM(D237:E237)</f>
        <v>1000000</v>
      </c>
      <c r="G237" s="5">
        <v>1000000</v>
      </c>
      <c r="H237" s="5"/>
      <c r="I237" s="6">
        <f>SUM(G237:H237)</f>
        <v>1000000</v>
      </c>
    </row>
    <row r="238" spans="1:9" ht="15">
      <c r="A238" s="15">
        <v>146</v>
      </c>
      <c r="B238" s="15">
        <v>48</v>
      </c>
      <c r="C238" s="23" t="s">
        <v>162</v>
      </c>
      <c r="D238" s="5"/>
      <c r="E238" s="5"/>
      <c r="F238" s="6">
        <f t="shared" si="12"/>
        <v>0</v>
      </c>
      <c r="G238" s="5"/>
      <c r="H238" s="5"/>
      <c r="I238" s="6">
        <f t="shared" si="14"/>
        <v>0</v>
      </c>
    </row>
    <row r="239" spans="1:9" ht="15">
      <c r="A239" s="15">
        <v>147</v>
      </c>
      <c r="B239" s="15">
        <v>49</v>
      </c>
      <c r="C239" s="23" t="s">
        <v>165</v>
      </c>
      <c r="D239" s="5">
        <v>1000000</v>
      </c>
      <c r="E239" s="5"/>
      <c r="F239" s="6">
        <f t="shared" si="12"/>
        <v>1000000</v>
      </c>
      <c r="G239" s="5"/>
      <c r="H239" s="5"/>
      <c r="I239" s="6">
        <f t="shared" si="14"/>
        <v>0</v>
      </c>
    </row>
    <row r="240" spans="1:9" ht="15">
      <c r="A240" s="15">
        <v>148</v>
      </c>
      <c r="B240" s="15">
        <v>50</v>
      </c>
      <c r="C240" s="23" t="s">
        <v>166</v>
      </c>
      <c r="D240" s="5"/>
      <c r="E240" s="5"/>
      <c r="F240" s="6">
        <f t="shared" si="12"/>
        <v>0</v>
      </c>
      <c r="G240" s="5">
        <v>500000</v>
      </c>
      <c r="H240" s="5"/>
      <c r="I240" s="6">
        <f t="shared" si="14"/>
        <v>500000</v>
      </c>
    </row>
    <row r="241" spans="1:9" ht="15">
      <c r="A241" s="15">
        <v>149</v>
      </c>
      <c r="B241" s="15">
        <v>51</v>
      </c>
      <c r="C241" s="23" t="s">
        <v>167</v>
      </c>
      <c r="D241" s="5"/>
      <c r="E241" s="5"/>
      <c r="F241" s="6">
        <f t="shared" si="12"/>
        <v>0</v>
      </c>
      <c r="G241" s="5">
        <f>500000+3644136</f>
        <v>4144136</v>
      </c>
      <c r="H241" s="5"/>
      <c r="I241" s="6">
        <f t="shared" si="14"/>
        <v>4144136</v>
      </c>
    </row>
    <row r="242" spans="1:9" ht="15">
      <c r="A242" s="15">
        <v>150</v>
      </c>
      <c r="B242" s="15">
        <v>52</v>
      </c>
      <c r="C242" s="23" t="s">
        <v>168</v>
      </c>
      <c r="D242" s="5"/>
      <c r="E242" s="5"/>
      <c r="F242" s="6">
        <f t="shared" si="12"/>
        <v>0</v>
      </c>
      <c r="G242" s="5">
        <v>2000000</v>
      </c>
      <c r="H242" s="5"/>
      <c r="I242" s="6">
        <f t="shared" si="14"/>
        <v>2000000</v>
      </c>
    </row>
    <row r="243" spans="1:9" ht="15">
      <c r="A243" s="15">
        <v>151</v>
      </c>
      <c r="B243" s="15">
        <v>53</v>
      </c>
      <c r="C243" s="23" t="s">
        <v>494</v>
      </c>
      <c r="D243" s="5">
        <v>391000</v>
      </c>
      <c r="E243" s="5"/>
      <c r="F243" s="6">
        <f t="shared" si="12"/>
        <v>391000</v>
      </c>
      <c r="G243" s="5">
        <v>391000</v>
      </c>
      <c r="H243" s="5"/>
      <c r="I243" s="6">
        <f t="shared" si="14"/>
        <v>391000</v>
      </c>
    </row>
    <row r="244" spans="1:11" ht="15">
      <c r="A244" s="15">
        <v>152</v>
      </c>
      <c r="B244" s="15">
        <v>54</v>
      </c>
      <c r="C244" s="23" t="s">
        <v>617</v>
      </c>
      <c r="D244" s="5"/>
      <c r="E244" s="5"/>
      <c r="F244" s="6"/>
      <c r="G244" s="5"/>
      <c r="H244" s="5"/>
      <c r="I244" s="6"/>
      <c r="K244" s="118"/>
    </row>
    <row r="245" spans="1:9" ht="15">
      <c r="A245" s="15">
        <v>153</v>
      </c>
      <c r="B245" s="15">
        <v>55</v>
      </c>
      <c r="C245" s="23" t="s">
        <v>163</v>
      </c>
      <c r="D245" s="5"/>
      <c r="E245" s="5"/>
      <c r="F245" s="6">
        <f>SUM(D245:E245)</f>
        <v>0</v>
      </c>
      <c r="G245" s="5">
        <f>750000+750000</f>
        <v>1500000</v>
      </c>
      <c r="H245" s="5"/>
      <c r="I245" s="6">
        <f>SUM(G245:H245)</f>
        <v>1500000</v>
      </c>
    </row>
    <row r="246" spans="1:9" ht="15">
      <c r="A246" s="15">
        <v>154</v>
      </c>
      <c r="B246" s="15">
        <v>56</v>
      </c>
      <c r="C246" s="23" t="s">
        <v>164</v>
      </c>
      <c r="D246" s="5">
        <v>700000</v>
      </c>
      <c r="E246" s="5"/>
      <c r="F246" s="6">
        <f>SUM(D246:E246)</f>
        <v>700000</v>
      </c>
      <c r="G246" s="5"/>
      <c r="H246" s="5"/>
      <c r="I246" s="6">
        <f>SUM(G246:H246)</f>
        <v>0</v>
      </c>
    </row>
    <row r="247" spans="1:9" ht="15">
      <c r="A247" s="15">
        <v>155</v>
      </c>
      <c r="B247" s="15">
        <v>57</v>
      </c>
      <c r="C247" s="23" t="s">
        <v>247</v>
      </c>
      <c r="D247" s="5"/>
      <c r="E247" s="5"/>
      <c r="F247" s="6">
        <f>SUM(D247:E247)</f>
        <v>0</v>
      </c>
      <c r="G247" s="5"/>
      <c r="H247" s="5"/>
      <c r="I247" s="6">
        <f>SUM(G247:H247)</f>
        <v>0</v>
      </c>
    </row>
    <row r="248" spans="1:9" ht="15">
      <c r="A248" s="239" t="s">
        <v>5</v>
      </c>
      <c r="B248" s="239"/>
      <c r="C248" s="239"/>
      <c r="D248" s="7">
        <f>SUM(D191:D247)</f>
        <v>5488900</v>
      </c>
      <c r="E248" s="7">
        <f>SUM(E191:E247)</f>
        <v>3349200</v>
      </c>
      <c r="F248" s="7">
        <f>SUM(D248:E248)</f>
        <v>8838100</v>
      </c>
      <c r="G248" s="7">
        <f>SUM(G191:G247)</f>
        <v>15118136</v>
      </c>
      <c r="H248" s="7">
        <f>SUM(H191:H247)</f>
        <v>4976200</v>
      </c>
      <c r="I248" s="7">
        <f>SUM(G248:H248)</f>
        <v>20094336</v>
      </c>
    </row>
    <row r="249" spans="1:9" ht="15">
      <c r="A249" s="224" t="s">
        <v>575</v>
      </c>
      <c r="B249" s="225"/>
      <c r="C249" s="225"/>
      <c r="D249" s="225"/>
      <c r="E249" s="225"/>
      <c r="F249" s="225"/>
      <c r="G249" s="225"/>
      <c r="H249" s="225"/>
      <c r="I249" s="226"/>
    </row>
    <row r="250" spans="1:9" ht="15">
      <c r="A250" s="15">
        <v>155</v>
      </c>
      <c r="B250" s="15">
        <v>1</v>
      </c>
      <c r="C250" s="20" t="s">
        <v>574</v>
      </c>
      <c r="D250" s="5">
        <v>7035179</v>
      </c>
      <c r="E250" s="5">
        <v>2010150</v>
      </c>
      <c r="F250" s="6">
        <f>SUM(D250:E250)</f>
        <v>9045329</v>
      </c>
      <c r="G250" s="5">
        <v>7035179</v>
      </c>
      <c r="H250" s="5">
        <v>2010150</v>
      </c>
      <c r="I250" s="6">
        <f>SUM(G250:H250)</f>
        <v>9045329</v>
      </c>
    </row>
    <row r="251" spans="1:9" ht="15">
      <c r="A251" s="15">
        <v>156</v>
      </c>
      <c r="B251" s="79">
        <v>2</v>
      </c>
      <c r="C251" s="96" t="s">
        <v>250</v>
      </c>
      <c r="D251" s="5"/>
      <c r="E251" s="5"/>
      <c r="F251" s="6">
        <f>SUM(D251:E251)</f>
        <v>0</v>
      </c>
      <c r="G251" s="5"/>
      <c r="H251" s="5"/>
      <c r="I251" s="6">
        <f>SUM(G251:H251)</f>
        <v>0</v>
      </c>
    </row>
    <row r="252" spans="1:9" ht="15">
      <c r="A252" s="224" t="s">
        <v>42</v>
      </c>
      <c r="B252" s="225"/>
      <c r="C252" s="225"/>
      <c r="D252" s="7">
        <f>D250</f>
        <v>7035179</v>
      </c>
      <c r="E252" s="7">
        <f>E250</f>
        <v>2010150</v>
      </c>
      <c r="F252" s="7">
        <f>SUM(D252:E252)</f>
        <v>9045329</v>
      </c>
      <c r="G252" s="7">
        <f>SUM(G250:G251)</f>
        <v>7035179</v>
      </c>
      <c r="H252" s="7">
        <f>SUM(H250:H251)</f>
        <v>2010150</v>
      </c>
      <c r="I252" s="7">
        <f>SUM(G252:H252)</f>
        <v>9045329</v>
      </c>
    </row>
    <row r="253" spans="1:9" ht="15">
      <c r="A253" s="224" t="s">
        <v>173</v>
      </c>
      <c r="B253" s="225"/>
      <c r="C253" s="225"/>
      <c r="D253" s="225"/>
      <c r="E253" s="225"/>
      <c r="F253" s="225"/>
      <c r="G253" s="225"/>
      <c r="H253" s="225"/>
      <c r="I253" s="226"/>
    </row>
    <row r="254" spans="1:9" ht="15">
      <c r="A254" s="15">
        <v>157</v>
      </c>
      <c r="B254" s="15">
        <v>1</v>
      </c>
      <c r="C254" s="26" t="s">
        <v>174</v>
      </c>
      <c r="D254" s="5"/>
      <c r="E254" s="27"/>
      <c r="F254" s="6">
        <f>SUM(D254:E254)</f>
        <v>0</v>
      </c>
      <c r="G254" s="5">
        <v>7100000</v>
      </c>
      <c r="H254" s="27"/>
      <c r="I254" s="6">
        <f>SUM(G254:H254)</f>
        <v>7100000</v>
      </c>
    </row>
    <row r="255" spans="1:9" ht="15">
      <c r="A255" s="15">
        <v>158</v>
      </c>
      <c r="B255" s="15">
        <v>2</v>
      </c>
      <c r="C255" s="28" t="s">
        <v>175</v>
      </c>
      <c r="D255" s="5"/>
      <c r="E255" s="27">
        <v>1500000</v>
      </c>
      <c r="F255" s="6">
        <f>D255+E255</f>
        <v>1500000</v>
      </c>
      <c r="G255" s="5"/>
      <c r="H255" s="27">
        <v>1500000</v>
      </c>
      <c r="I255" s="6">
        <f>G255+H255</f>
        <v>1500000</v>
      </c>
    </row>
    <row r="256" spans="1:9" ht="15">
      <c r="A256" s="224" t="s">
        <v>42</v>
      </c>
      <c r="B256" s="225"/>
      <c r="C256" s="225"/>
      <c r="D256" s="7">
        <f>SUM(D254:D255)</f>
        <v>0</v>
      </c>
      <c r="E256" s="7">
        <f>SUM(E254:E255)</f>
        <v>1500000</v>
      </c>
      <c r="F256" s="7">
        <f>SUM(D256:E256)</f>
        <v>1500000</v>
      </c>
      <c r="G256" s="7">
        <f>SUM(G254:G255)</f>
        <v>7100000</v>
      </c>
      <c r="H256" s="7">
        <f>SUM(H254:H255)</f>
        <v>1500000</v>
      </c>
      <c r="I256" s="7">
        <f>SUM(G256:H256)</f>
        <v>8600000</v>
      </c>
    </row>
    <row r="257" spans="1:9" ht="15">
      <c r="A257" s="224" t="s">
        <v>524</v>
      </c>
      <c r="B257" s="225"/>
      <c r="C257" s="225"/>
      <c r="D257" s="225"/>
      <c r="E257" s="225"/>
      <c r="F257" s="225"/>
      <c r="G257" s="225"/>
      <c r="H257" s="225"/>
      <c r="I257" s="226"/>
    </row>
    <row r="258" spans="1:9" ht="15">
      <c r="A258" s="15">
        <v>159</v>
      </c>
      <c r="B258" s="15">
        <v>1</v>
      </c>
      <c r="C258" s="26" t="s">
        <v>525</v>
      </c>
      <c r="D258" s="5"/>
      <c r="E258" s="27">
        <v>1187500</v>
      </c>
      <c r="F258" s="6">
        <f>SUM(D258:E258)</f>
        <v>1187500</v>
      </c>
      <c r="G258" s="5"/>
      <c r="H258" s="27"/>
      <c r="I258" s="6">
        <f>SUM(G258:H258)</f>
        <v>0</v>
      </c>
    </row>
    <row r="259" spans="1:9" ht="15">
      <c r="A259" s="224" t="s">
        <v>42</v>
      </c>
      <c r="B259" s="225"/>
      <c r="C259" s="225"/>
      <c r="D259" s="7">
        <f>SUM(D258:D258)</f>
        <v>0</v>
      </c>
      <c r="E259" s="7">
        <f>SUM(E258:E258)</f>
        <v>1187500</v>
      </c>
      <c r="F259" s="7">
        <f>SUM(D259:E259)</f>
        <v>1187500</v>
      </c>
      <c r="G259" s="7">
        <f>SUM(G258:G258)</f>
        <v>0</v>
      </c>
      <c r="H259" s="7">
        <f>SUM(H258:H258)</f>
        <v>0</v>
      </c>
      <c r="I259" s="7">
        <f>SUM(G259:H259)</f>
        <v>0</v>
      </c>
    </row>
    <row r="260" spans="1:9" ht="15">
      <c r="A260" s="224" t="s">
        <v>176</v>
      </c>
      <c r="B260" s="225"/>
      <c r="C260" s="225"/>
      <c r="D260" s="225"/>
      <c r="E260" s="225"/>
      <c r="F260" s="225"/>
      <c r="G260" s="225"/>
      <c r="H260" s="225"/>
      <c r="I260" s="226"/>
    </row>
    <row r="261" spans="1:13" ht="15">
      <c r="A261" s="15">
        <v>160</v>
      </c>
      <c r="B261" s="15">
        <v>1</v>
      </c>
      <c r="C261" s="17" t="s">
        <v>177</v>
      </c>
      <c r="D261" s="5"/>
      <c r="E261" s="5"/>
      <c r="F261" s="6">
        <f>SUM(D261:E261)</f>
        <v>0</v>
      </c>
      <c r="G261" s="5"/>
      <c r="H261" s="5"/>
      <c r="I261" s="6">
        <f>SUM(G261:H261)</f>
        <v>0</v>
      </c>
      <c r="L261" s="127"/>
      <c r="M261" s="127"/>
    </row>
    <row r="262" spans="1:13" ht="15">
      <c r="A262" s="15">
        <v>161</v>
      </c>
      <c r="B262" s="15">
        <v>2</v>
      </c>
      <c r="C262" s="17" t="s">
        <v>178</v>
      </c>
      <c r="D262" s="5">
        <f>2000000+76500+35700</f>
        <v>2112200</v>
      </c>
      <c r="E262" s="5">
        <f>498250+447800+248000</f>
        <v>1194050</v>
      </c>
      <c r="F262" s="6">
        <f aca="true" t="shared" si="15" ref="F262:F269">SUM(D262:E262)</f>
        <v>3306250</v>
      </c>
      <c r="G262" s="5"/>
      <c r="H262" s="5">
        <v>6230000</v>
      </c>
      <c r="I262" s="6">
        <f aca="true" t="shared" si="16" ref="I262:I269">SUM(G262:H262)</f>
        <v>6230000</v>
      </c>
      <c r="L262" s="16"/>
      <c r="M262" s="100"/>
    </row>
    <row r="263" spans="1:13" ht="15">
      <c r="A263" s="15">
        <v>162</v>
      </c>
      <c r="B263" s="15">
        <v>3</v>
      </c>
      <c r="C263" s="29" t="s">
        <v>179</v>
      </c>
      <c r="D263" s="5"/>
      <c r="E263" s="5"/>
      <c r="F263" s="6">
        <f t="shared" si="15"/>
        <v>0</v>
      </c>
      <c r="G263" s="5"/>
      <c r="H263" s="5"/>
      <c r="I263" s="6">
        <f t="shared" si="16"/>
        <v>0</v>
      </c>
      <c r="L263" s="16"/>
      <c r="M263" s="16"/>
    </row>
    <row r="264" spans="1:13" ht="15">
      <c r="A264" s="15">
        <v>163</v>
      </c>
      <c r="B264" s="15">
        <v>4</v>
      </c>
      <c r="C264" s="29" t="s">
        <v>254</v>
      </c>
      <c r="D264" s="5"/>
      <c r="E264" s="5"/>
      <c r="F264" s="6">
        <f t="shared" si="15"/>
        <v>0</v>
      </c>
      <c r="G264" s="5"/>
      <c r="H264" s="5"/>
      <c r="I264" s="6">
        <f t="shared" si="16"/>
        <v>0</v>
      </c>
      <c r="L264" s="16"/>
      <c r="M264" s="16"/>
    </row>
    <row r="265" spans="1:13" ht="15">
      <c r="A265" s="15">
        <v>164</v>
      </c>
      <c r="B265" s="15">
        <v>5</v>
      </c>
      <c r="C265" s="26" t="s">
        <v>220</v>
      </c>
      <c r="D265" s="5"/>
      <c r="E265" s="5"/>
      <c r="F265" s="6">
        <f t="shared" si="15"/>
        <v>0</v>
      </c>
      <c r="G265" s="5">
        <f>85000</f>
        <v>85000</v>
      </c>
      <c r="H265" s="5"/>
      <c r="I265" s="6">
        <f t="shared" si="16"/>
        <v>85000</v>
      </c>
      <c r="M265" s="107"/>
    </row>
    <row r="266" spans="1:9" ht="15">
      <c r="A266" s="15">
        <v>165</v>
      </c>
      <c r="B266" s="15">
        <v>6</v>
      </c>
      <c r="C266" s="26" t="s">
        <v>221</v>
      </c>
      <c r="D266" s="5"/>
      <c r="E266" s="5">
        <f>32000</f>
        <v>32000</v>
      </c>
      <c r="F266" s="6">
        <f t="shared" si="15"/>
        <v>32000</v>
      </c>
      <c r="G266" s="5"/>
      <c r="H266" s="5">
        <v>109000</v>
      </c>
      <c r="I266" s="6">
        <f t="shared" si="16"/>
        <v>109000</v>
      </c>
    </row>
    <row r="267" spans="1:13" ht="15">
      <c r="A267" s="15">
        <v>166</v>
      </c>
      <c r="B267" s="15">
        <v>7</v>
      </c>
      <c r="C267" s="26" t="s">
        <v>222</v>
      </c>
      <c r="D267" s="5">
        <f>150000+23000</f>
        <v>173000</v>
      </c>
      <c r="E267" s="5"/>
      <c r="F267" s="6">
        <f t="shared" si="15"/>
        <v>173000</v>
      </c>
      <c r="G267" s="5">
        <v>40000</v>
      </c>
      <c r="H267" s="5"/>
      <c r="I267" s="6">
        <f t="shared" si="16"/>
        <v>40000</v>
      </c>
      <c r="K267" s="81"/>
      <c r="L267" s="82"/>
      <c r="M267" s="82"/>
    </row>
    <row r="268" spans="1:9" ht="15">
      <c r="A268" s="15">
        <v>167</v>
      </c>
      <c r="B268" s="15">
        <v>8</v>
      </c>
      <c r="C268" s="26" t="s">
        <v>223</v>
      </c>
      <c r="D268" s="5"/>
      <c r="E268" s="5">
        <v>1000000</v>
      </c>
      <c r="F268" s="6">
        <f t="shared" si="15"/>
        <v>1000000</v>
      </c>
      <c r="G268" s="5"/>
      <c r="H268" s="5">
        <f>1000000+100000</f>
        <v>1100000</v>
      </c>
      <c r="I268" s="6">
        <f t="shared" si="16"/>
        <v>1100000</v>
      </c>
    </row>
    <row r="269" spans="1:13" ht="15">
      <c r="A269" s="15">
        <v>168</v>
      </c>
      <c r="B269" s="15">
        <v>9</v>
      </c>
      <c r="C269" s="26" t="s">
        <v>256</v>
      </c>
      <c r="D269" s="5"/>
      <c r="E269" s="5"/>
      <c r="F269" s="6">
        <f t="shared" si="15"/>
        <v>0</v>
      </c>
      <c r="G269" s="5"/>
      <c r="H269" s="5"/>
      <c r="I269" s="6">
        <f t="shared" si="16"/>
        <v>0</v>
      </c>
      <c r="L269" s="127"/>
      <c r="M269" s="127"/>
    </row>
    <row r="270" spans="1:13" ht="15">
      <c r="A270" s="15">
        <v>169</v>
      </c>
      <c r="B270" s="15">
        <v>10</v>
      </c>
      <c r="C270" s="28" t="s">
        <v>186</v>
      </c>
      <c r="D270" s="5"/>
      <c r="E270" s="5"/>
      <c r="F270" s="6">
        <f>SUM(D270:E270)</f>
        <v>0</v>
      </c>
      <c r="G270" s="5"/>
      <c r="H270" s="5"/>
      <c r="I270" s="6">
        <f>SUM(G270:H270)</f>
        <v>0</v>
      </c>
      <c r="L270" s="16"/>
      <c r="M270" s="16"/>
    </row>
    <row r="271" spans="1:13" ht="15">
      <c r="A271" s="15">
        <v>170</v>
      </c>
      <c r="B271" s="15">
        <v>11</v>
      </c>
      <c r="C271" s="26" t="s">
        <v>721</v>
      </c>
      <c r="D271" s="5"/>
      <c r="E271" s="5"/>
      <c r="F271" s="6">
        <f>SUM(D271:E271)</f>
        <v>0</v>
      </c>
      <c r="G271" s="5"/>
      <c r="H271" s="5">
        <v>60000</v>
      </c>
      <c r="I271" s="6">
        <f>SUM(G271:H271)</f>
        <v>60000</v>
      </c>
      <c r="L271" s="16"/>
      <c r="M271" s="16"/>
    </row>
    <row r="272" spans="1:9" ht="15">
      <c r="A272" s="15">
        <v>171</v>
      </c>
      <c r="B272" s="15">
        <v>12</v>
      </c>
      <c r="C272" s="30" t="s">
        <v>185</v>
      </c>
      <c r="D272" s="5">
        <v>220000</v>
      </c>
      <c r="E272" s="5"/>
      <c r="F272" s="6">
        <f aca="true" t="shared" si="17" ref="F272:F304">SUM(D272:E272)</f>
        <v>220000</v>
      </c>
      <c r="G272" s="5">
        <v>220000</v>
      </c>
      <c r="H272" s="5"/>
      <c r="I272" s="6">
        <f aca="true" t="shared" si="18" ref="I272:I304">SUM(G272:H272)</f>
        <v>220000</v>
      </c>
    </row>
    <row r="273" spans="1:13" ht="15">
      <c r="A273" s="15">
        <v>172</v>
      </c>
      <c r="B273" s="15">
        <v>13</v>
      </c>
      <c r="C273" s="32" t="s">
        <v>308</v>
      </c>
      <c r="D273" s="31">
        <v>200000</v>
      </c>
      <c r="E273" s="27"/>
      <c r="F273" s="6">
        <f t="shared" si="17"/>
        <v>200000</v>
      </c>
      <c r="G273" s="31">
        <f>200000+260000</f>
        <v>460000</v>
      </c>
      <c r="H273" s="27"/>
      <c r="I273" s="6">
        <f t="shared" si="18"/>
        <v>460000</v>
      </c>
      <c r="L273" s="16"/>
      <c r="M273" s="16"/>
    </row>
    <row r="274" spans="1:9" ht="15">
      <c r="A274" s="15">
        <v>173</v>
      </c>
      <c r="B274" s="15">
        <v>14</v>
      </c>
      <c r="C274" s="32" t="s">
        <v>309</v>
      </c>
      <c r="D274" s="31">
        <v>85000</v>
      </c>
      <c r="E274" s="27"/>
      <c r="F274" s="6">
        <f t="shared" si="17"/>
        <v>85000</v>
      </c>
      <c r="G274" s="31">
        <f>100000+40000</f>
        <v>140000</v>
      </c>
      <c r="H274" s="27"/>
      <c r="I274" s="6">
        <f t="shared" si="18"/>
        <v>140000</v>
      </c>
    </row>
    <row r="275" spans="1:9" ht="15">
      <c r="A275" s="15">
        <v>174</v>
      </c>
      <c r="B275" s="15">
        <v>15</v>
      </c>
      <c r="C275" s="32" t="s">
        <v>355</v>
      </c>
      <c r="D275" s="31">
        <v>175000</v>
      </c>
      <c r="E275" s="27"/>
      <c r="F275" s="6">
        <f t="shared" si="17"/>
        <v>175000</v>
      </c>
      <c r="G275" s="31">
        <v>175000</v>
      </c>
      <c r="H275" s="27"/>
      <c r="I275" s="6">
        <f t="shared" si="18"/>
        <v>175000</v>
      </c>
    </row>
    <row r="276" spans="1:9" ht="15">
      <c r="A276" s="15">
        <v>175</v>
      </c>
      <c r="B276" s="15">
        <v>16</v>
      </c>
      <c r="C276" s="32" t="s">
        <v>377</v>
      </c>
      <c r="D276" s="31">
        <v>191000</v>
      </c>
      <c r="E276" s="27"/>
      <c r="F276" s="6">
        <f t="shared" si="17"/>
        <v>191000</v>
      </c>
      <c r="G276" s="31">
        <v>210000</v>
      </c>
      <c r="H276" s="27"/>
      <c r="I276" s="91">
        <f t="shared" si="18"/>
        <v>210000</v>
      </c>
    </row>
    <row r="277" spans="1:9" ht="15">
      <c r="A277" s="15">
        <v>176</v>
      </c>
      <c r="B277" s="15">
        <v>17</v>
      </c>
      <c r="C277" s="32" t="s">
        <v>408</v>
      </c>
      <c r="D277" s="31"/>
      <c r="E277" s="27"/>
      <c r="F277" s="6">
        <f t="shared" si="17"/>
        <v>0</v>
      </c>
      <c r="G277" s="31"/>
      <c r="H277" s="27"/>
      <c r="I277" s="91">
        <f t="shared" si="18"/>
        <v>0</v>
      </c>
    </row>
    <row r="278" spans="1:9" ht="15">
      <c r="A278" s="15">
        <v>177</v>
      </c>
      <c r="B278" s="15">
        <v>18</v>
      </c>
      <c r="C278" s="32" t="s">
        <v>618</v>
      </c>
      <c r="D278" s="31">
        <v>120000</v>
      </c>
      <c r="E278" s="27"/>
      <c r="F278" s="6">
        <f t="shared" si="17"/>
        <v>120000</v>
      </c>
      <c r="G278" s="31">
        <v>120000</v>
      </c>
      <c r="H278" s="27"/>
      <c r="I278" s="91">
        <f t="shared" si="18"/>
        <v>120000</v>
      </c>
    </row>
    <row r="279" spans="1:9" ht="15">
      <c r="A279" s="15">
        <v>178</v>
      </c>
      <c r="B279" s="15">
        <v>19</v>
      </c>
      <c r="C279" s="32" t="s">
        <v>245</v>
      </c>
      <c r="D279" s="31"/>
      <c r="E279" s="27"/>
      <c r="F279" s="6">
        <f t="shared" si="17"/>
        <v>0</v>
      </c>
      <c r="G279" s="31"/>
      <c r="H279" s="27"/>
      <c r="I279" s="91">
        <f t="shared" si="18"/>
        <v>0</v>
      </c>
    </row>
    <row r="280" spans="1:9" ht="15">
      <c r="A280" s="15">
        <v>179</v>
      </c>
      <c r="B280" s="15">
        <v>20</v>
      </c>
      <c r="C280" s="32" t="s">
        <v>519</v>
      </c>
      <c r="D280" s="31">
        <v>100000</v>
      </c>
      <c r="E280" s="27"/>
      <c r="F280" s="6">
        <f t="shared" si="17"/>
        <v>100000</v>
      </c>
      <c r="G280" s="31">
        <v>100000</v>
      </c>
      <c r="H280" s="27"/>
      <c r="I280" s="91">
        <f t="shared" si="18"/>
        <v>100000</v>
      </c>
    </row>
    <row r="281" spans="1:9" ht="15">
      <c r="A281" s="15">
        <v>180</v>
      </c>
      <c r="B281" s="15">
        <v>21</v>
      </c>
      <c r="C281" s="32" t="s">
        <v>520</v>
      </c>
      <c r="D281" s="31"/>
      <c r="E281" s="27"/>
      <c r="F281" s="6">
        <f t="shared" si="17"/>
        <v>0</v>
      </c>
      <c r="G281" s="31"/>
      <c r="H281" s="27"/>
      <c r="I281" s="91">
        <f t="shared" si="18"/>
        <v>0</v>
      </c>
    </row>
    <row r="282" spans="1:9" ht="15">
      <c r="A282" s="15">
        <v>181</v>
      </c>
      <c r="B282" s="15">
        <v>22</v>
      </c>
      <c r="C282" s="32" t="s">
        <v>521</v>
      </c>
      <c r="D282" s="31"/>
      <c r="E282" s="27"/>
      <c r="F282" s="6">
        <f t="shared" si="17"/>
        <v>0</v>
      </c>
      <c r="G282" s="31"/>
      <c r="H282" s="27"/>
      <c r="I282" s="91">
        <f t="shared" si="18"/>
        <v>0</v>
      </c>
    </row>
    <row r="283" spans="1:9" ht="15">
      <c r="A283" s="15">
        <v>182</v>
      </c>
      <c r="B283" s="15">
        <v>23</v>
      </c>
      <c r="C283" s="32" t="s">
        <v>522</v>
      </c>
      <c r="D283" s="31"/>
      <c r="E283" s="27"/>
      <c r="F283" s="6">
        <f t="shared" si="17"/>
        <v>0</v>
      </c>
      <c r="G283" s="31"/>
      <c r="H283" s="27">
        <v>50000</v>
      </c>
      <c r="I283" s="91">
        <f t="shared" si="18"/>
        <v>50000</v>
      </c>
    </row>
    <row r="284" spans="1:9" ht="15">
      <c r="A284" s="15">
        <v>183</v>
      </c>
      <c r="B284" s="15">
        <v>24</v>
      </c>
      <c r="C284" s="32" t="s">
        <v>523</v>
      </c>
      <c r="D284" s="31"/>
      <c r="E284" s="27"/>
      <c r="F284" s="6">
        <f t="shared" si="17"/>
        <v>0</v>
      </c>
      <c r="G284" s="31"/>
      <c r="H284" s="27"/>
      <c r="I284" s="91">
        <f t="shared" si="18"/>
        <v>0</v>
      </c>
    </row>
    <row r="285" spans="1:9" ht="15">
      <c r="A285" s="15">
        <v>184</v>
      </c>
      <c r="B285" s="15">
        <v>25</v>
      </c>
      <c r="C285" s="32" t="s">
        <v>526</v>
      </c>
      <c r="D285" s="31"/>
      <c r="E285" s="27"/>
      <c r="F285" s="6">
        <f t="shared" si="17"/>
        <v>0</v>
      </c>
      <c r="G285" s="31"/>
      <c r="H285" s="27"/>
      <c r="I285" s="91">
        <f t="shared" si="18"/>
        <v>0</v>
      </c>
    </row>
    <row r="286" spans="1:9" ht="15">
      <c r="A286" s="15">
        <v>185</v>
      </c>
      <c r="B286" s="15">
        <v>26</v>
      </c>
      <c r="C286" s="32" t="s">
        <v>527</v>
      </c>
      <c r="D286" s="31"/>
      <c r="E286" s="27"/>
      <c r="F286" s="6">
        <f t="shared" si="17"/>
        <v>0</v>
      </c>
      <c r="G286" s="31"/>
      <c r="H286" s="27"/>
      <c r="I286" s="91">
        <f t="shared" si="18"/>
        <v>0</v>
      </c>
    </row>
    <row r="287" spans="1:9" ht="15">
      <c r="A287" s="15">
        <v>186</v>
      </c>
      <c r="B287" s="15">
        <v>27</v>
      </c>
      <c r="C287" s="32" t="s">
        <v>528</v>
      </c>
      <c r="D287" s="31"/>
      <c r="E287" s="27">
        <v>50000</v>
      </c>
      <c r="F287" s="6">
        <f t="shared" si="17"/>
        <v>50000</v>
      </c>
      <c r="G287" s="31"/>
      <c r="H287" s="27">
        <v>30000</v>
      </c>
      <c r="I287" s="91">
        <f t="shared" si="18"/>
        <v>30000</v>
      </c>
    </row>
    <row r="288" spans="1:9" ht="15">
      <c r="A288" s="15">
        <v>187</v>
      </c>
      <c r="B288" s="15">
        <v>28</v>
      </c>
      <c r="C288" s="32" t="s">
        <v>529</v>
      </c>
      <c r="D288" s="31"/>
      <c r="E288" s="27"/>
      <c r="F288" s="6">
        <f t="shared" si="17"/>
        <v>0</v>
      </c>
      <c r="G288" s="31"/>
      <c r="H288" s="27">
        <v>50000</v>
      </c>
      <c r="I288" s="91">
        <f t="shared" si="18"/>
        <v>50000</v>
      </c>
    </row>
    <row r="289" spans="1:9" ht="15">
      <c r="A289" s="15">
        <v>188</v>
      </c>
      <c r="B289" s="15">
        <v>29</v>
      </c>
      <c r="C289" s="32" t="s">
        <v>530</v>
      </c>
      <c r="D289" s="31"/>
      <c r="E289" s="27"/>
      <c r="F289" s="6">
        <f t="shared" si="17"/>
        <v>0</v>
      </c>
      <c r="G289" s="31"/>
      <c r="H289" s="27"/>
      <c r="I289" s="91">
        <f t="shared" si="18"/>
        <v>0</v>
      </c>
    </row>
    <row r="290" spans="1:9" ht="15">
      <c r="A290" s="15">
        <v>189</v>
      </c>
      <c r="B290" s="15">
        <v>30</v>
      </c>
      <c r="C290" s="32" t="s">
        <v>573</v>
      </c>
      <c r="D290" s="31"/>
      <c r="E290" s="27"/>
      <c r="F290" s="6">
        <f t="shared" si="17"/>
        <v>0</v>
      </c>
      <c r="G290" s="31"/>
      <c r="H290" s="27"/>
      <c r="I290" s="91">
        <f t="shared" si="18"/>
        <v>0</v>
      </c>
    </row>
    <row r="291" spans="1:9" ht="15">
      <c r="A291" s="15">
        <v>190</v>
      </c>
      <c r="B291" s="15">
        <v>31</v>
      </c>
      <c r="C291" s="32" t="s">
        <v>576</v>
      </c>
      <c r="D291" s="31"/>
      <c r="E291" s="27">
        <v>723000</v>
      </c>
      <c r="F291" s="6">
        <f t="shared" si="17"/>
        <v>723000</v>
      </c>
      <c r="G291" s="31"/>
      <c r="H291" s="27"/>
      <c r="I291" s="91">
        <f t="shared" si="18"/>
        <v>0</v>
      </c>
    </row>
    <row r="292" spans="1:9" ht="15">
      <c r="A292" s="15">
        <v>191</v>
      </c>
      <c r="B292" s="15">
        <v>32</v>
      </c>
      <c r="C292" s="32" t="s">
        <v>615</v>
      </c>
      <c r="D292" s="31"/>
      <c r="E292" s="27"/>
      <c r="F292" s="6">
        <f t="shared" si="17"/>
        <v>0</v>
      </c>
      <c r="G292" s="31"/>
      <c r="H292" s="27"/>
      <c r="I292" s="91">
        <f t="shared" si="18"/>
        <v>0</v>
      </c>
    </row>
    <row r="293" spans="1:9" ht="15">
      <c r="A293" s="15">
        <v>192</v>
      </c>
      <c r="B293" s="15">
        <v>33</v>
      </c>
      <c r="C293" s="32" t="s">
        <v>616</v>
      </c>
      <c r="D293" s="31"/>
      <c r="E293" s="27"/>
      <c r="F293" s="6">
        <f t="shared" si="17"/>
        <v>0</v>
      </c>
      <c r="G293" s="31">
        <v>50000</v>
      </c>
      <c r="H293" s="27"/>
      <c r="I293" s="91">
        <f t="shared" si="18"/>
        <v>50000</v>
      </c>
    </row>
    <row r="294" spans="1:9" ht="15">
      <c r="A294" s="15">
        <v>193</v>
      </c>
      <c r="B294" s="15">
        <v>34</v>
      </c>
      <c r="C294" s="32" t="s">
        <v>310</v>
      </c>
      <c r="D294" s="31"/>
      <c r="E294" s="27"/>
      <c r="F294" s="6">
        <f t="shared" si="17"/>
        <v>0</v>
      </c>
      <c r="G294" s="31">
        <v>50000</v>
      </c>
      <c r="H294" s="27"/>
      <c r="I294" s="91">
        <f t="shared" si="18"/>
        <v>50000</v>
      </c>
    </row>
    <row r="295" spans="1:9" ht="15">
      <c r="A295" s="15">
        <v>194</v>
      </c>
      <c r="B295" s="15">
        <v>35</v>
      </c>
      <c r="C295" s="32" t="s">
        <v>181</v>
      </c>
      <c r="D295" s="31"/>
      <c r="E295" s="27"/>
      <c r="F295" s="6">
        <f t="shared" si="17"/>
        <v>0</v>
      </c>
      <c r="G295" s="31"/>
      <c r="H295" s="27"/>
      <c r="I295" s="91">
        <f t="shared" si="18"/>
        <v>0</v>
      </c>
    </row>
    <row r="296" spans="1:9" ht="15">
      <c r="A296" s="15">
        <v>195</v>
      </c>
      <c r="B296" s="15">
        <v>36</v>
      </c>
      <c r="C296" s="32" t="s">
        <v>183</v>
      </c>
      <c r="D296" s="31">
        <v>50000</v>
      </c>
      <c r="E296" s="27"/>
      <c r="F296" s="6">
        <f t="shared" si="17"/>
        <v>50000</v>
      </c>
      <c r="G296" s="31"/>
      <c r="H296" s="27"/>
      <c r="I296" s="91">
        <f t="shared" si="18"/>
        <v>0</v>
      </c>
    </row>
    <row r="297" spans="1:9" ht="15">
      <c r="A297" s="15">
        <v>196</v>
      </c>
      <c r="B297" s="15">
        <v>37</v>
      </c>
      <c r="C297" s="32" t="s">
        <v>693</v>
      </c>
      <c r="D297" s="31"/>
      <c r="E297" s="27">
        <v>100000</v>
      </c>
      <c r="F297" s="6">
        <f t="shared" si="17"/>
        <v>100000</v>
      </c>
      <c r="G297" s="31"/>
      <c r="H297" s="27"/>
      <c r="I297" s="91">
        <f t="shared" si="18"/>
        <v>0</v>
      </c>
    </row>
    <row r="298" spans="1:9" ht="15">
      <c r="A298" s="15">
        <v>197</v>
      </c>
      <c r="B298" s="15">
        <v>38</v>
      </c>
      <c r="C298" s="32" t="s">
        <v>694</v>
      </c>
      <c r="D298" s="31">
        <v>1000000</v>
      </c>
      <c r="E298" s="27"/>
      <c r="F298" s="6">
        <f t="shared" si="17"/>
        <v>1000000</v>
      </c>
      <c r="G298" s="31"/>
      <c r="H298" s="27"/>
      <c r="I298" s="91">
        <f t="shared" si="18"/>
        <v>0</v>
      </c>
    </row>
    <row r="299" spans="1:9" ht="15">
      <c r="A299" s="15">
        <v>198</v>
      </c>
      <c r="B299" s="15">
        <v>39</v>
      </c>
      <c r="C299" s="32" t="s">
        <v>695</v>
      </c>
      <c r="D299" s="31">
        <v>200000</v>
      </c>
      <c r="E299" s="27"/>
      <c r="F299" s="6">
        <f t="shared" si="17"/>
        <v>200000</v>
      </c>
      <c r="G299" s="31"/>
      <c r="H299" s="27"/>
      <c r="I299" s="91">
        <f t="shared" si="18"/>
        <v>0</v>
      </c>
    </row>
    <row r="300" spans="1:9" ht="15">
      <c r="A300" s="15">
        <v>199</v>
      </c>
      <c r="B300" s="15">
        <v>40</v>
      </c>
      <c r="C300" s="32" t="s">
        <v>716</v>
      </c>
      <c r="D300" s="31"/>
      <c r="E300" s="27"/>
      <c r="F300" s="6">
        <f t="shared" si="17"/>
        <v>0</v>
      </c>
      <c r="G300" s="31">
        <v>167500</v>
      </c>
      <c r="H300" s="27">
        <v>82500</v>
      </c>
      <c r="I300" s="91">
        <f t="shared" si="18"/>
        <v>250000</v>
      </c>
    </row>
    <row r="301" spans="1:9" ht="15">
      <c r="A301" s="15">
        <v>200</v>
      </c>
      <c r="B301" s="15">
        <v>41</v>
      </c>
      <c r="C301" s="32" t="s">
        <v>717</v>
      </c>
      <c r="D301" s="31"/>
      <c r="E301" s="27"/>
      <c r="F301" s="6">
        <f t="shared" si="17"/>
        <v>0</v>
      </c>
      <c r="G301" s="31">
        <v>5300000</v>
      </c>
      <c r="H301" s="27"/>
      <c r="I301" s="91">
        <f t="shared" si="18"/>
        <v>5300000</v>
      </c>
    </row>
    <row r="302" spans="1:9" ht="15">
      <c r="A302" s="15">
        <v>201</v>
      </c>
      <c r="B302" s="15">
        <v>42</v>
      </c>
      <c r="C302" s="32" t="s">
        <v>718</v>
      </c>
      <c r="D302" s="31"/>
      <c r="E302" s="27"/>
      <c r="F302" s="6">
        <f t="shared" si="17"/>
        <v>0</v>
      </c>
      <c r="G302" s="31">
        <v>3000000</v>
      </c>
      <c r="H302" s="27"/>
      <c r="I302" s="91">
        <f t="shared" si="18"/>
        <v>3000000</v>
      </c>
    </row>
    <row r="303" spans="1:9" ht="15">
      <c r="A303" s="15">
        <v>202</v>
      </c>
      <c r="B303" s="15">
        <v>43</v>
      </c>
      <c r="C303" s="32" t="s">
        <v>719</v>
      </c>
      <c r="D303" s="31"/>
      <c r="E303" s="27"/>
      <c r="F303" s="6">
        <f t="shared" si="17"/>
        <v>0</v>
      </c>
      <c r="G303" s="31"/>
      <c r="H303" s="27">
        <v>260000</v>
      </c>
      <c r="I303" s="91">
        <f t="shared" si="18"/>
        <v>260000</v>
      </c>
    </row>
    <row r="304" spans="1:9" ht="15">
      <c r="A304" s="15">
        <v>203</v>
      </c>
      <c r="B304" s="15">
        <v>44</v>
      </c>
      <c r="C304" s="32" t="s">
        <v>720</v>
      </c>
      <c r="D304" s="31"/>
      <c r="E304" s="27"/>
      <c r="F304" s="6">
        <f t="shared" si="17"/>
        <v>0</v>
      </c>
      <c r="G304" s="31"/>
      <c r="H304" s="27">
        <v>400000</v>
      </c>
      <c r="I304" s="91">
        <f t="shared" si="18"/>
        <v>400000</v>
      </c>
    </row>
    <row r="305" spans="1:9" ht="15.75" thickBot="1">
      <c r="A305" s="253" t="s">
        <v>42</v>
      </c>
      <c r="B305" s="254"/>
      <c r="C305" s="255"/>
      <c r="D305" s="33">
        <f>SUM(D261:D304)</f>
        <v>4626200</v>
      </c>
      <c r="E305" s="33">
        <f>SUM(E261:E304)</f>
        <v>3099050</v>
      </c>
      <c r="F305" s="33">
        <f>SUM(D305:E305)</f>
        <v>7725250</v>
      </c>
      <c r="G305" s="33">
        <f>SUM(G261:G304)</f>
        <v>10117500</v>
      </c>
      <c r="H305" s="33">
        <f>SUM(H261:H304)</f>
        <v>8371500</v>
      </c>
      <c r="I305" s="33">
        <f>SUM(G305:H305)</f>
        <v>18489000</v>
      </c>
    </row>
    <row r="306" spans="1:9" ht="16.5" thickBot="1" thickTop="1">
      <c r="A306" s="237" t="s">
        <v>190</v>
      </c>
      <c r="B306" s="238"/>
      <c r="C306" s="238"/>
      <c r="D306" s="34">
        <f>D305++D259+D256+D252+D248+D189+D164+D142+D120+D117+D114+D91+D81+D78+D75</f>
        <v>89512953</v>
      </c>
      <c r="E306" s="34">
        <f>E305++E259+E256+E252+E248+E189+E164+E142+E120+E117+E114+E91+E81+E78+E75</f>
        <v>46046080</v>
      </c>
      <c r="F306" s="34">
        <f>SUM(D306:E306)</f>
        <v>135559033</v>
      </c>
      <c r="G306" s="34">
        <f>G305+G259+G256+G252+G248+G189+G164+G142+G120+G117+G114+G91+G81+G78+G75</f>
        <v>129644629</v>
      </c>
      <c r="H306" s="34">
        <f>H305+H259+H256+H252+H248+H189+H164+H142+H120+H117+H114+H91+H81+H78+H75</f>
        <v>57487550</v>
      </c>
      <c r="I306" s="34">
        <f>SUM(G306:H306)</f>
        <v>187132179</v>
      </c>
    </row>
    <row r="307" spans="1:13" ht="15.75" thickTop="1">
      <c r="A307" s="35"/>
      <c r="B307" s="35"/>
      <c r="C307" s="35"/>
      <c r="D307" s="36"/>
      <c r="E307" s="36"/>
      <c r="F307" s="36"/>
      <c r="G307" s="36"/>
      <c r="H307" s="36"/>
      <c r="I307" s="36"/>
      <c r="J307" s="37"/>
      <c r="L307" s="105"/>
      <c r="M307" s="105"/>
    </row>
    <row r="308" spans="1:13" ht="15">
      <c r="A308" s="39"/>
      <c r="B308" s="39"/>
      <c r="C308" s="39"/>
      <c r="D308" s="38"/>
      <c r="E308" s="38"/>
      <c r="F308" s="240" t="s">
        <v>699</v>
      </c>
      <c r="G308" s="240"/>
      <c r="H308" s="240"/>
      <c r="I308" s="240"/>
      <c r="L308" s="105"/>
      <c r="M308" s="105"/>
    </row>
    <row r="309" spans="1:13" ht="15">
      <c r="A309" s="39"/>
      <c r="B309" s="39"/>
      <c r="C309" s="38" t="s">
        <v>199</v>
      </c>
      <c r="D309" s="38"/>
      <c r="E309" s="38"/>
      <c r="F309" s="240" t="s">
        <v>349</v>
      </c>
      <c r="G309" s="240"/>
      <c r="H309" s="240"/>
      <c r="I309" s="240"/>
      <c r="L309" s="105"/>
      <c r="M309" s="105"/>
    </row>
    <row r="310" spans="1:13" ht="15">
      <c r="A310" s="39"/>
      <c r="B310" s="39"/>
      <c r="C310" s="39"/>
      <c r="D310" s="39"/>
      <c r="E310" s="39"/>
      <c r="G310" s="39"/>
      <c r="H310" s="39"/>
      <c r="L310" s="105"/>
      <c r="M310" s="105"/>
    </row>
    <row r="311" spans="1:13" ht="15">
      <c r="A311" s="39"/>
      <c r="B311" s="61"/>
      <c r="C311" s="272" t="s">
        <v>866</v>
      </c>
      <c r="D311" s="39"/>
      <c r="E311" s="39"/>
      <c r="G311" s="270" t="s">
        <v>866</v>
      </c>
      <c r="H311" s="39"/>
      <c r="L311" s="105"/>
      <c r="M311" s="105"/>
    </row>
    <row r="312" spans="1:13" ht="15">
      <c r="A312" s="39"/>
      <c r="B312" s="61"/>
      <c r="C312" s="38" t="s">
        <v>269</v>
      </c>
      <c r="D312" s="62"/>
      <c r="E312" s="62"/>
      <c r="F312" s="240" t="s">
        <v>350</v>
      </c>
      <c r="G312" s="240"/>
      <c r="H312" s="240"/>
      <c r="I312" s="240"/>
      <c r="L312" s="105"/>
      <c r="M312" s="105"/>
    </row>
    <row r="313" spans="1:12" ht="15">
      <c r="A313" s="35"/>
      <c r="B313" s="35"/>
      <c r="C313" s="35"/>
      <c r="D313" s="36"/>
      <c r="E313" s="36"/>
      <c r="F313" s="36"/>
      <c r="G313" s="36"/>
      <c r="H313" s="36"/>
      <c r="I313" s="36"/>
      <c r="J313" s="37"/>
      <c r="L313" s="16"/>
    </row>
    <row r="314" spans="1:9" ht="15">
      <c r="A314" s="240" t="s">
        <v>191</v>
      </c>
      <c r="B314" s="240"/>
      <c r="C314" s="240"/>
      <c r="D314" s="240"/>
      <c r="E314" s="240"/>
      <c r="F314" s="240"/>
      <c r="G314" s="240"/>
      <c r="H314" s="240"/>
      <c r="I314" s="240"/>
    </row>
    <row r="315" spans="1:9" ht="15">
      <c r="A315" s="240" t="s">
        <v>700</v>
      </c>
      <c r="B315" s="240"/>
      <c r="C315" s="240"/>
      <c r="D315" s="240"/>
      <c r="E315" s="240"/>
      <c r="F315" s="240"/>
      <c r="G315" s="240"/>
      <c r="H315" s="240"/>
      <c r="I315" s="240"/>
    </row>
    <row r="316" spans="1:9" ht="15">
      <c r="A316" s="38" t="s">
        <v>192</v>
      </c>
      <c r="B316" s="72" t="s">
        <v>195</v>
      </c>
      <c r="C316" s="38"/>
      <c r="D316" s="38"/>
      <c r="E316" s="38"/>
      <c r="F316" s="38"/>
      <c r="G316" s="38"/>
      <c r="H316" s="38"/>
      <c r="I316" s="38"/>
    </row>
    <row r="317" spans="1:9" ht="15">
      <c r="A317" s="40"/>
      <c r="B317" s="243" t="s">
        <v>2</v>
      </c>
      <c r="C317" s="247" t="s">
        <v>193</v>
      </c>
      <c r="D317" s="248"/>
      <c r="E317" s="248"/>
      <c r="F317" s="248"/>
      <c r="G317" s="248"/>
      <c r="H317" s="249"/>
      <c r="I317" s="85" t="s">
        <v>42</v>
      </c>
    </row>
    <row r="318" spans="1:9" ht="15">
      <c r="A318" s="39"/>
      <c r="B318" s="244"/>
      <c r="C318" s="250"/>
      <c r="D318" s="251"/>
      <c r="E318" s="251"/>
      <c r="F318" s="251"/>
      <c r="G318" s="251"/>
      <c r="H318" s="252"/>
      <c r="I318" s="84" t="s">
        <v>194</v>
      </c>
    </row>
    <row r="319" spans="1:9" ht="15">
      <c r="A319" s="39"/>
      <c r="B319" s="70">
        <v>1</v>
      </c>
      <c r="C319" s="45" t="s">
        <v>339</v>
      </c>
      <c r="D319" s="60"/>
      <c r="E319" s="60"/>
      <c r="F319" s="69"/>
      <c r="G319" s="60"/>
      <c r="H319" s="60"/>
      <c r="I319" s="59"/>
    </row>
    <row r="320" spans="1:10" ht="15">
      <c r="A320" s="39"/>
      <c r="B320" s="70"/>
      <c r="C320" s="45" t="s">
        <v>701</v>
      </c>
      <c r="D320" s="60"/>
      <c r="E320" s="60"/>
      <c r="F320" s="69"/>
      <c r="G320" s="60"/>
      <c r="H320" s="60"/>
      <c r="I320" s="99">
        <v>6565900</v>
      </c>
      <c r="J320" s="105"/>
    </row>
    <row r="321" spans="1:12" ht="15">
      <c r="A321" s="39"/>
      <c r="B321" s="70">
        <v>2</v>
      </c>
      <c r="C321" s="45" t="s">
        <v>885</v>
      </c>
      <c r="D321" s="128"/>
      <c r="E321" s="128"/>
      <c r="F321" s="129"/>
      <c r="G321" s="128"/>
      <c r="H321" s="128"/>
      <c r="I321" s="99"/>
      <c r="J321" s="105"/>
      <c r="L321" s="88"/>
    </row>
    <row r="322" spans="1:12" ht="15">
      <c r="A322" s="39"/>
      <c r="B322" s="70"/>
      <c r="C322" s="45" t="s">
        <v>703</v>
      </c>
      <c r="D322" s="128"/>
      <c r="E322" s="128"/>
      <c r="F322" s="129"/>
      <c r="G322" s="128"/>
      <c r="H322" s="128"/>
      <c r="I322" s="99">
        <f>45000000+22200000+15000000-4200000</f>
        <v>78000000</v>
      </c>
      <c r="J322" s="105"/>
      <c r="K322" s="88"/>
      <c r="L322" s="88"/>
    </row>
    <row r="323" spans="1:12" ht="15">
      <c r="A323" s="39"/>
      <c r="B323" s="70"/>
      <c r="C323" s="45" t="s">
        <v>704</v>
      </c>
      <c r="D323" s="128"/>
      <c r="E323" s="128"/>
      <c r="F323" s="129"/>
      <c r="G323" s="128"/>
      <c r="H323" s="128"/>
      <c r="I323" s="99">
        <f>44100000+22500000+21900000-3900000</f>
        <v>84600000</v>
      </c>
      <c r="J323" s="105"/>
      <c r="L323" s="88"/>
    </row>
    <row r="324" spans="1:12" ht="15">
      <c r="A324" s="39"/>
      <c r="B324" s="70"/>
      <c r="C324" s="45" t="s">
        <v>713</v>
      </c>
      <c r="D324" s="128"/>
      <c r="E324" s="128"/>
      <c r="F324" s="129"/>
      <c r="G324" s="128"/>
      <c r="H324" s="128"/>
      <c r="I324" s="99">
        <v>1000000</v>
      </c>
      <c r="J324" s="105"/>
      <c r="L324" s="88"/>
    </row>
    <row r="325" spans="1:12" ht="15">
      <c r="A325" s="39"/>
      <c r="B325" s="70"/>
      <c r="C325" s="45" t="s">
        <v>733</v>
      </c>
      <c r="D325" s="128"/>
      <c r="E325" s="128"/>
      <c r="F325" s="129"/>
      <c r="G325" s="128"/>
      <c r="H325" s="128"/>
      <c r="I325" s="99">
        <v>3000000</v>
      </c>
      <c r="J325" s="105"/>
      <c r="L325" s="88"/>
    </row>
    <row r="326" spans="1:12" ht="15">
      <c r="A326" s="39"/>
      <c r="B326" s="70"/>
      <c r="C326" s="45" t="s">
        <v>734</v>
      </c>
      <c r="D326" s="128"/>
      <c r="E326" s="128"/>
      <c r="F326" s="129"/>
      <c r="G326" s="128"/>
      <c r="H326" s="128"/>
      <c r="I326" s="99">
        <f>4500000</f>
        <v>4500000</v>
      </c>
      <c r="J326" s="105"/>
      <c r="L326" s="88"/>
    </row>
    <row r="327" spans="1:12" ht="15">
      <c r="A327" s="39"/>
      <c r="B327" s="70">
        <v>3</v>
      </c>
      <c r="C327" s="45" t="s">
        <v>316</v>
      </c>
      <c r="D327" s="128"/>
      <c r="E327" s="128"/>
      <c r="F327" s="129"/>
      <c r="G327" s="128"/>
      <c r="H327" s="128"/>
      <c r="I327" s="99"/>
      <c r="J327" s="105"/>
      <c r="L327" s="88"/>
    </row>
    <row r="328" spans="1:10" ht="15">
      <c r="A328" s="39"/>
      <c r="B328" s="70"/>
      <c r="C328" s="45" t="s">
        <v>712</v>
      </c>
      <c r="D328" s="128"/>
      <c r="E328" s="128"/>
      <c r="F328" s="129"/>
      <c r="G328" s="128"/>
      <c r="H328" s="128"/>
      <c r="I328" s="99">
        <v>5000000</v>
      </c>
      <c r="J328" s="105"/>
    </row>
    <row r="329" spans="1:10" ht="15">
      <c r="A329" s="39"/>
      <c r="B329" s="41">
        <v>4</v>
      </c>
      <c r="C329" s="45" t="s">
        <v>892</v>
      </c>
      <c r="D329" s="130"/>
      <c r="E329" s="130"/>
      <c r="F329" s="131"/>
      <c r="G329" s="130"/>
      <c r="H329" s="130"/>
      <c r="I329" s="92"/>
      <c r="J329" s="105"/>
    </row>
    <row r="330" spans="1:11" ht="15">
      <c r="A330" s="39"/>
      <c r="B330" s="41"/>
      <c r="C330" s="45" t="s">
        <v>705</v>
      </c>
      <c r="D330" s="130"/>
      <c r="E330" s="130"/>
      <c r="F330" s="131"/>
      <c r="G330" s="130"/>
      <c r="H330" s="130"/>
      <c r="I330" s="92">
        <f>45000000+22500000+22500000-3600000</f>
        <v>86400000</v>
      </c>
      <c r="J330" s="105"/>
      <c r="K330" s="88"/>
    </row>
    <row r="331" spans="1:10" ht="15">
      <c r="A331" s="39"/>
      <c r="B331" s="41"/>
      <c r="C331" s="45" t="s">
        <v>706</v>
      </c>
      <c r="D331" s="130"/>
      <c r="E331" s="130"/>
      <c r="F331" s="131"/>
      <c r="G331" s="130"/>
      <c r="H331" s="130"/>
      <c r="I331" s="92">
        <f>45000000+22500000+18000000-2400000</f>
        <v>83100000</v>
      </c>
      <c r="J331" s="105"/>
    </row>
    <row r="332" spans="1:10" ht="15">
      <c r="A332" s="39"/>
      <c r="B332" s="41"/>
      <c r="C332" s="45" t="s">
        <v>732</v>
      </c>
      <c r="D332" s="130"/>
      <c r="E332" s="130"/>
      <c r="F332" s="131"/>
      <c r="G332" s="130"/>
      <c r="H332" s="130"/>
      <c r="I332" s="92">
        <v>12000000</v>
      </c>
      <c r="J332" s="105"/>
    </row>
    <row r="333" spans="1:12" ht="15">
      <c r="A333" s="39"/>
      <c r="B333" s="70">
        <v>5</v>
      </c>
      <c r="C333" s="45" t="s">
        <v>723</v>
      </c>
      <c r="D333" s="130"/>
      <c r="E333" s="130"/>
      <c r="F333" s="131"/>
      <c r="G333" s="130"/>
      <c r="H333" s="130"/>
      <c r="I333" s="92"/>
      <c r="J333" s="105"/>
      <c r="L333" s="88"/>
    </row>
    <row r="334" spans="1:12" ht="15">
      <c r="A334" s="39"/>
      <c r="B334" s="70"/>
      <c r="C334" s="45" t="s">
        <v>724</v>
      </c>
      <c r="D334" s="42"/>
      <c r="E334" s="42"/>
      <c r="F334" s="63"/>
      <c r="G334" s="42"/>
      <c r="H334" s="42"/>
      <c r="I334" s="92">
        <v>5000000</v>
      </c>
      <c r="J334" s="105"/>
      <c r="L334" s="88"/>
    </row>
    <row r="335" spans="1:12" ht="15">
      <c r="A335" s="39"/>
      <c r="B335" s="70">
        <v>6</v>
      </c>
      <c r="C335" s="45" t="s">
        <v>226</v>
      </c>
      <c r="D335" s="42"/>
      <c r="E335" s="42"/>
      <c r="F335" s="68"/>
      <c r="G335" s="42"/>
      <c r="H335" s="42"/>
      <c r="I335" s="92">
        <f>85000+150000</f>
        <v>235000</v>
      </c>
      <c r="J335" s="105"/>
      <c r="L335" s="88"/>
    </row>
    <row r="336" spans="1:10" ht="15">
      <c r="A336" s="56"/>
      <c r="B336" s="241" t="s">
        <v>5</v>
      </c>
      <c r="C336" s="245"/>
      <c r="D336" s="245"/>
      <c r="E336" s="245"/>
      <c r="F336" s="66"/>
      <c r="G336" s="66"/>
      <c r="H336" s="67"/>
      <c r="I336" s="57">
        <f>SUM(I320:I335)</f>
        <v>369400900</v>
      </c>
      <c r="J336" s="115"/>
    </row>
    <row r="337" spans="1:9" ht="15">
      <c r="A337" s="58"/>
      <c r="B337" s="58"/>
      <c r="C337" s="58"/>
      <c r="D337" s="58"/>
      <c r="E337" s="58"/>
      <c r="F337" s="58"/>
      <c r="G337" s="73"/>
      <c r="H337" s="73"/>
      <c r="I337" s="58"/>
    </row>
    <row r="338" spans="1:9" ht="15">
      <c r="A338" s="74" t="s">
        <v>196</v>
      </c>
      <c r="B338" s="75" t="s">
        <v>197</v>
      </c>
      <c r="C338" s="75"/>
      <c r="D338" s="58"/>
      <c r="E338" s="58"/>
      <c r="F338" s="58"/>
      <c r="G338" s="58"/>
      <c r="H338" s="58"/>
      <c r="I338" s="58"/>
    </row>
    <row r="339" spans="1:9" ht="15">
      <c r="A339" s="40"/>
      <c r="B339" s="243" t="s">
        <v>2</v>
      </c>
      <c r="C339" s="248" t="s">
        <v>193</v>
      </c>
      <c r="D339" s="248"/>
      <c r="E339" s="248"/>
      <c r="F339" s="248"/>
      <c r="G339" s="248"/>
      <c r="H339" s="249"/>
      <c r="I339" s="85" t="s">
        <v>42</v>
      </c>
    </row>
    <row r="340" spans="1:9" ht="15">
      <c r="A340" s="58"/>
      <c r="B340" s="244"/>
      <c r="C340" s="251"/>
      <c r="D340" s="251"/>
      <c r="E340" s="251"/>
      <c r="F340" s="251"/>
      <c r="G340" s="251"/>
      <c r="H340" s="252"/>
      <c r="I340" s="84" t="s">
        <v>194</v>
      </c>
    </row>
    <row r="341" spans="1:9" ht="15">
      <c r="A341" s="58"/>
      <c r="B341" s="70">
        <v>1</v>
      </c>
      <c r="C341" s="45" t="s">
        <v>592</v>
      </c>
      <c r="D341" s="42"/>
      <c r="E341" s="42"/>
      <c r="F341" s="69"/>
      <c r="G341" s="42"/>
      <c r="H341" s="42"/>
      <c r="I341" s="99"/>
    </row>
    <row r="342" spans="1:11" ht="15">
      <c r="A342" s="58"/>
      <c r="B342" s="70"/>
      <c r="C342" s="45" t="s">
        <v>702</v>
      </c>
      <c r="D342" s="42"/>
      <c r="E342" s="42"/>
      <c r="F342" s="69"/>
      <c r="G342" s="42"/>
      <c r="H342" s="42"/>
      <c r="I342" s="106">
        <v>1674113</v>
      </c>
      <c r="J342" s="88"/>
      <c r="K342" s="16"/>
    </row>
    <row r="343" spans="1:10" ht="15">
      <c r="A343" s="58"/>
      <c r="B343" s="70"/>
      <c r="C343" s="45" t="s">
        <v>666</v>
      </c>
      <c r="D343" s="42"/>
      <c r="E343" s="42"/>
      <c r="F343" s="69"/>
      <c r="G343" s="42"/>
      <c r="H343" s="42"/>
      <c r="I343" s="99">
        <v>406800</v>
      </c>
      <c r="J343" s="88"/>
    </row>
    <row r="344" spans="1:12" ht="15">
      <c r="A344" s="58"/>
      <c r="B344" s="70"/>
      <c r="C344" s="45" t="s">
        <v>714</v>
      </c>
      <c r="D344" s="42"/>
      <c r="E344" s="42"/>
      <c r="F344" s="69"/>
      <c r="G344" s="42"/>
      <c r="H344" s="42"/>
      <c r="I344" s="99">
        <v>160000</v>
      </c>
      <c r="J344" s="88"/>
      <c r="L344" s="88"/>
    </row>
    <row r="345" spans="1:10" ht="15">
      <c r="A345" s="58"/>
      <c r="B345" s="70"/>
      <c r="C345" s="45" t="s">
        <v>725</v>
      </c>
      <c r="D345" s="42"/>
      <c r="E345" s="42"/>
      <c r="F345" s="69"/>
      <c r="G345" s="42"/>
      <c r="H345" s="42"/>
      <c r="I345" s="99">
        <v>592000</v>
      </c>
      <c r="J345" s="88"/>
    </row>
    <row r="346" spans="1:10" ht="15">
      <c r="A346" s="58"/>
      <c r="B346" s="70">
        <v>2</v>
      </c>
      <c r="C346" s="45" t="s">
        <v>539</v>
      </c>
      <c r="D346" s="60"/>
      <c r="E346" s="60"/>
      <c r="F346" s="69"/>
      <c r="G346" s="60"/>
      <c r="H346" s="60"/>
      <c r="I346" s="99"/>
      <c r="J346" s="88"/>
    </row>
    <row r="347" spans="1:11" ht="15">
      <c r="A347" s="58"/>
      <c r="B347" s="70"/>
      <c r="C347" s="45" t="s">
        <v>707</v>
      </c>
      <c r="D347" s="60"/>
      <c r="E347" s="60"/>
      <c r="F347" s="69"/>
      <c r="G347" s="60"/>
      <c r="H347" s="60"/>
      <c r="I347" s="99">
        <f>4873000+4925000+4814500+4304300</f>
        <v>18916800</v>
      </c>
      <c r="J347" s="88"/>
      <c r="K347" s="88"/>
    </row>
    <row r="348" spans="1:10" ht="15">
      <c r="A348" s="58"/>
      <c r="B348" s="70"/>
      <c r="C348" s="45" t="s">
        <v>708</v>
      </c>
      <c r="D348" s="60"/>
      <c r="E348" s="60"/>
      <c r="F348" s="69"/>
      <c r="G348" s="60"/>
      <c r="H348" s="60"/>
      <c r="I348" s="99"/>
      <c r="J348" s="88"/>
    </row>
    <row r="349" spans="1:10" ht="15">
      <c r="A349" s="58"/>
      <c r="B349" s="70"/>
      <c r="C349" s="45" t="s">
        <v>729</v>
      </c>
      <c r="D349" s="60"/>
      <c r="E349" s="60"/>
      <c r="F349" s="69"/>
      <c r="G349" s="60"/>
      <c r="H349" s="60"/>
      <c r="I349" s="99">
        <v>200000</v>
      </c>
      <c r="J349" s="88"/>
    </row>
    <row r="350" spans="1:10" ht="15">
      <c r="A350" s="58"/>
      <c r="B350" s="70"/>
      <c r="C350" s="45" t="s">
        <v>730</v>
      </c>
      <c r="D350" s="60"/>
      <c r="E350" s="60"/>
      <c r="F350" s="69"/>
      <c r="G350" s="60"/>
      <c r="H350" s="60"/>
      <c r="I350" s="99">
        <v>500000</v>
      </c>
      <c r="J350" s="88"/>
    </row>
    <row r="351" spans="1:10" ht="15">
      <c r="A351" s="58"/>
      <c r="B351" s="70">
        <v>3</v>
      </c>
      <c r="C351" s="45" t="s">
        <v>390</v>
      </c>
      <c r="D351" s="60"/>
      <c r="E351" s="60"/>
      <c r="F351" s="69"/>
      <c r="G351" s="60"/>
      <c r="H351" s="60"/>
      <c r="I351" s="99"/>
      <c r="J351" s="88"/>
    </row>
    <row r="352" spans="1:11" ht="15">
      <c r="A352" s="58"/>
      <c r="B352" s="70"/>
      <c r="C352" s="45" t="s">
        <v>722</v>
      </c>
      <c r="D352" s="60"/>
      <c r="E352" s="60"/>
      <c r="F352" s="69"/>
      <c r="G352" s="60"/>
      <c r="H352" s="60"/>
      <c r="I352" s="99">
        <v>500000</v>
      </c>
      <c r="J352" s="88"/>
      <c r="K352" s="88"/>
    </row>
    <row r="353" spans="1:13" ht="15">
      <c r="A353" s="58"/>
      <c r="B353" s="70"/>
      <c r="C353" s="45" t="s">
        <v>735</v>
      </c>
      <c r="D353" s="60"/>
      <c r="E353" s="60"/>
      <c r="F353" s="69"/>
      <c r="G353" s="60"/>
      <c r="H353" s="60"/>
      <c r="I353" s="99">
        <v>11904400</v>
      </c>
      <c r="J353" s="88"/>
      <c r="L353" s="16"/>
      <c r="M353" s="16"/>
    </row>
    <row r="354" spans="1:13" ht="15">
      <c r="A354" s="58"/>
      <c r="B354" s="70">
        <v>4</v>
      </c>
      <c r="C354" s="45" t="s">
        <v>509</v>
      </c>
      <c r="D354" s="60"/>
      <c r="E354" s="60"/>
      <c r="F354" s="69"/>
      <c r="G354" s="60"/>
      <c r="H354" s="60"/>
      <c r="I354" s="99"/>
      <c r="J354" s="88"/>
      <c r="L354" s="16"/>
      <c r="M354" s="16"/>
    </row>
    <row r="355" spans="1:13" ht="15">
      <c r="A355" s="58"/>
      <c r="B355" s="70"/>
      <c r="C355" s="45" t="s">
        <v>726</v>
      </c>
      <c r="D355" s="60"/>
      <c r="E355" s="60"/>
      <c r="F355" s="69"/>
      <c r="G355" s="60"/>
      <c r="H355" s="60"/>
      <c r="I355" s="99">
        <v>70000</v>
      </c>
      <c r="J355" s="88"/>
      <c r="K355" s="88"/>
      <c r="L355" s="16"/>
      <c r="M355" s="16"/>
    </row>
    <row r="356" spans="1:13" ht="15">
      <c r="A356" s="58"/>
      <c r="B356" s="70"/>
      <c r="C356" s="45" t="s">
        <v>727</v>
      </c>
      <c r="D356" s="60"/>
      <c r="E356" s="60"/>
      <c r="F356" s="69"/>
      <c r="G356" s="60"/>
      <c r="H356" s="60"/>
      <c r="I356" s="99">
        <v>270000</v>
      </c>
      <c r="J356" s="88"/>
      <c r="L356" s="16"/>
      <c r="M356" s="16"/>
    </row>
    <row r="357" spans="1:13" ht="15">
      <c r="A357" s="58"/>
      <c r="B357" s="70"/>
      <c r="C357" s="45" t="s">
        <v>728</v>
      </c>
      <c r="D357" s="60"/>
      <c r="E357" s="60"/>
      <c r="F357" s="69"/>
      <c r="G357" s="60"/>
      <c r="H357" s="60"/>
      <c r="I357" s="99">
        <v>250000</v>
      </c>
      <c r="J357" s="88"/>
      <c r="L357" s="16"/>
      <c r="M357" s="16"/>
    </row>
    <row r="358" spans="1:13" ht="15">
      <c r="A358" s="58"/>
      <c r="B358" s="70"/>
      <c r="C358" s="45" t="s">
        <v>731</v>
      </c>
      <c r="D358" s="60"/>
      <c r="E358" s="60"/>
      <c r="F358" s="69"/>
      <c r="G358" s="60"/>
      <c r="H358" s="60"/>
      <c r="I358" s="99">
        <v>17200000</v>
      </c>
      <c r="J358" s="88"/>
      <c r="L358" s="16"/>
      <c r="M358" s="16"/>
    </row>
    <row r="359" spans="1:13" ht="15">
      <c r="A359" s="58"/>
      <c r="B359" s="70"/>
      <c r="C359" s="45" t="s">
        <v>738</v>
      </c>
      <c r="D359" s="60"/>
      <c r="E359" s="60"/>
      <c r="F359" s="69"/>
      <c r="G359" s="60"/>
      <c r="H359" s="60"/>
      <c r="I359" s="99">
        <f>70000+70000</f>
        <v>140000</v>
      </c>
      <c r="J359" s="88"/>
      <c r="L359" s="16"/>
      <c r="M359" s="16"/>
    </row>
    <row r="360" spans="1:13" ht="15">
      <c r="A360" s="58"/>
      <c r="B360" s="70"/>
      <c r="C360" s="45" t="s">
        <v>741</v>
      </c>
      <c r="D360" s="60"/>
      <c r="E360" s="60"/>
      <c r="F360" s="69"/>
      <c r="G360" s="60"/>
      <c r="H360" s="60"/>
      <c r="I360" s="99">
        <v>150000</v>
      </c>
      <c r="J360" s="88"/>
      <c r="L360" s="16"/>
      <c r="M360" s="16"/>
    </row>
    <row r="361" spans="1:13" ht="15">
      <c r="A361" s="58"/>
      <c r="B361" s="70">
        <v>5</v>
      </c>
      <c r="C361" s="45" t="s">
        <v>736</v>
      </c>
      <c r="D361" s="60"/>
      <c r="E361" s="60"/>
      <c r="F361" s="69"/>
      <c r="G361" s="60"/>
      <c r="H361" s="60"/>
      <c r="I361" s="99"/>
      <c r="J361" s="88"/>
      <c r="L361" s="16"/>
      <c r="M361" s="16"/>
    </row>
    <row r="362" spans="1:13" ht="15">
      <c r="A362" s="58"/>
      <c r="B362" s="70"/>
      <c r="C362" s="45" t="s">
        <v>737</v>
      </c>
      <c r="D362" s="60"/>
      <c r="E362" s="60"/>
      <c r="F362" s="69"/>
      <c r="G362" s="60"/>
      <c r="H362" s="60"/>
      <c r="I362" s="99">
        <v>179700000</v>
      </c>
      <c r="J362" s="88"/>
      <c r="K362" s="88"/>
      <c r="L362" s="16"/>
      <c r="M362" s="16"/>
    </row>
    <row r="363" spans="1:13" ht="15">
      <c r="A363" s="58"/>
      <c r="B363" s="70">
        <v>6</v>
      </c>
      <c r="C363" s="45" t="s">
        <v>740</v>
      </c>
      <c r="D363" s="60"/>
      <c r="E363" s="60"/>
      <c r="F363" s="69"/>
      <c r="G363" s="60"/>
      <c r="H363" s="60"/>
      <c r="I363" s="99">
        <v>10000000</v>
      </c>
      <c r="J363" s="88"/>
      <c r="K363" s="88"/>
      <c r="L363" s="16"/>
      <c r="M363" s="16"/>
    </row>
    <row r="364" spans="1:13" ht="15">
      <c r="A364" s="58"/>
      <c r="B364" s="70">
        <v>7</v>
      </c>
      <c r="C364" s="45" t="s">
        <v>894</v>
      </c>
      <c r="D364" s="60"/>
      <c r="E364" s="60"/>
      <c r="F364" s="69"/>
      <c r="G364" s="60"/>
      <c r="H364" s="60"/>
      <c r="I364" s="99"/>
      <c r="J364" s="88"/>
      <c r="L364" s="16"/>
      <c r="M364" s="16"/>
    </row>
    <row r="365" spans="1:13" ht="15">
      <c r="A365" s="58"/>
      <c r="B365" s="70"/>
      <c r="C365" s="45" t="s">
        <v>739</v>
      </c>
      <c r="D365" s="60"/>
      <c r="E365" s="60"/>
      <c r="F365" s="69"/>
      <c r="G365" s="60"/>
      <c r="H365" s="60"/>
      <c r="I365" s="99">
        <v>2768000</v>
      </c>
      <c r="J365" s="88"/>
      <c r="K365" s="88"/>
      <c r="L365" s="16"/>
      <c r="M365" s="16"/>
    </row>
    <row r="366" spans="1:10" ht="15">
      <c r="A366" s="58"/>
      <c r="B366" s="70">
        <v>8</v>
      </c>
      <c r="C366" s="45" t="s">
        <v>599</v>
      </c>
      <c r="D366" s="60"/>
      <c r="E366" s="60"/>
      <c r="F366" s="69"/>
      <c r="G366" s="60"/>
      <c r="H366" s="60"/>
      <c r="I366" s="99"/>
      <c r="J366" s="88"/>
    </row>
    <row r="367" spans="1:11" ht="15">
      <c r="A367" s="58"/>
      <c r="B367" s="70"/>
      <c r="C367" s="45" t="s">
        <v>709</v>
      </c>
      <c r="D367" s="60"/>
      <c r="E367" s="60"/>
      <c r="F367" s="69"/>
      <c r="G367" s="60"/>
      <c r="H367" s="60"/>
      <c r="I367" s="99">
        <f>2000000+4500000</f>
        <v>6500000</v>
      </c>
      <c r="J367" s="88"/>
      <c r="K367" s="88"/>
    </row>
    <row r="368" spans="1:10" ht="15">
      <c r="A368" s="58"/>
      <c r="B368" s="70"/>
      <c r="C368" s="45" t="s">
        <v>710</v>
      </c>
      <c r="D368" s="60"/>
      <c r="E368" s="60"/>
      <c r="F368" s="69"/>
      <c r="G368" s="60"/>
      <c r="H368" s="60"/>
      <c r="I368" s="99"/>
      <c r="J368" s="88"/>
    </row>
    <row r="369" spans="1:10" ht="15">
      <c r="A369" s="58"/>
      <c r="B369" s="70"/>
      <c r="C369" s="45" t="s">
        <v>711</v>
      </c>
      <c r="D369" s="60"/>
      <c r="E369" s="60"/>
      <c r="F369" s="69"/>
      <c r="G369" s="60"/>
      <c r="H369" s="60"/>
      <c r="I369" s="99">
        <f>2133000+2318200</f>
        <v>4451200</v>
      </c>
      <c r="J369" s="132"/>
    </row>
    <row r="370" spans="1:12" ht="15">
      <c r="A370" s="58"/>
      <c r="B370" s="70"/>
      <c r="C370" s="45" t="s">
        <v>631</v>
      </c>
      <c r="D370" s="60"/>
      <c r="E370" s="60"/>
      <c r="F370" s="69"/>
      <c r="G370" s="60"/>
      <c r="H370" s="60"/>
      <c r="I370" s="99">
        <f>3225000+3600000</f>
        <v>6825000</v>
      </c>
      <c r="J370" s="88"/>
      <c r="L370" s="88"/>
    </row>
    <row r="371" spans="1:10" ht="15">
      <c r="A371" s="58"/>
      <c r="B371" s="70"/>
      <c r="C371" s="45" t="s">
        <v>691</v>
      </c>
      <c r="D371" s="60"/>
      <c r="E371" s="60"/>
      <c r="F371" s="69"/>
      <c r="G371" s="60"/>
      <c r="H371" s="60"/>
      <c r="I371" s="99">
        <f>1002500*2</f>
        <v>2005000</v>
      </c>
      <c r="J371" s="88"/>
    </row>
    <row r="372" spans="1:10" ht="15">
      <c r="A372" s="58"/>
      <c r="B372" s="70"/>
      <c r="C372" s="122" t="s">
        <v>628</v>
      </c>
      <c r="D372" s="123"/>
      <c r="E372" s="124"/>
      <c r="F372" s="124"/>
      <c r="G372" s="120"/>
      <c r="H372" s="121"/>
      <c r="I372" s="99">
        <f>300000+150000</f>
        <v>450000</v>
      </c>
      <c r="J372" s="88"/>
    </row>
    <row r="373" spans="1:12" ht="15">
      <c r="A373" s="58"/>
      <c r="B373" s="70">
        <v>9</v>
      </c>
      <c r="C373" s="46" t="s">
        <v>563</v>
      </c>
      <c r="D373" s="60"/>
      <c r="E373" s="60"/>
      <c r="F373" s="69"/>
      <c r="G373" s="60"/>
      <c r="H373" s="60"/>
      <c r="I373" s="117">
        <v>6230000</v>
      </c>
      <c r="J373" s="88"/>
      <c r="K373" s="105"/>
      <c r="L373" s="88"/>
    </row>
    <row r="374" spans="1:11" ht="15">
      <c r="A374" s="56"/>
      <c r="B374" s="241" t="s">
        <v>5</v>
      </c>
      <c r="C374" s="245"/>
      <c r="D374" s="245"/>
      <c r="E374" s="245"/>
      <c r="F374" s="65"/>
      <c r="G374" s="65"/>
      <c r="H374" s="71"/>
      <c r="I374" s="57">
        <f>SUM(I342:I373)</f>
        <v>271863313</v>
      </c>
      <c r="J374" s="115"/>
      <c r="K374" s="16"/>
    </row>
    <row r="375" spans="1:9" ht="15">
      <c r="A375" s="39"/>
      <c r="B375" s="39"/>
      <c r="C375" s="39"/>
      <c r="D375" s="39"/>
      <c r="E375" s="39"/>
      <c r="F375" s="39" t="s">
        <v>198</v>
      </c>
      <c r="G375" s="39"/>
      <c r="H375" s="39"/>
      <c r="I375" s="39" t="s">
        <v>198</v>
      </c>
    </row>
    <row r="376" spans="1:10" ht="15">
      <c r="A376" s="39"/>
      <c r="B376" s="39"/>
      <c r="C376" s="39"/>
      <c r="D376" s="38"/>
      <c r="E376" s="38"/>
      <c r="F376" s="240" t="s">
        <v>699</v>
      </c>
      <c r="G376" s="240"/>
      <c r="H376" s="240"/>
      <c r="I376" s="240"/>
      <c r="J376" s="105"/>
    </row>
    <row r="377" spans="1:9" ht="15">
      <c r="A377" s="39"/>
      <c r="B377" s="39"/>
      <c r="C377" s="38" t="s">
        <v>199</v>
      </c>
      <c r="D377" s="38"/>
      <c r="E377" s="38"/>
      <c r="F377" s="240" t="s">
        <v>268</v>
      </c>
      <c r="G377" s="240"/>
      <c r="H377" s="240"/>
      <c r="I377" s="240"/>
    </row>
    <row r="378" spans="1:8" ht="15">
      <c r="A378" s="39"/>
      <c r="B378" s="39"/>
      <c r="C378" s="39"/>
      <c r="D378" s="39"/>
      <c r="E378" s="39"/>
      <c r="G378" s="39"/>
      <c r="H378" s="39"/>
    </row>
    <row r="379" spans="1:8" ht="15">
      <c r="A379" s="39"/>
      <c r="B379" s="61"/>
      <c r="C379" s="272" t="s">
        <v>866</v>
      </c>
      <c r="D379" s="39"/>
      <c r="E379" s="39"/>
      <c r="G379" s="270" t="s">
        <v>866</v>
      </c>
      <c r="H379" s="39"/>
    </row>
    <row r="380" spans="1:9" ht="15">
      <c r="A380" s="39"/>
      <c r="B380" s="61"/>
      <c r="C380" s="38" t="s">
        <v>269</v>
      </c>
      <c r="D380" s="62"/>
      <c r="E380" s="62"/>
      <c r="F380" s="240" t="s">
        <v>351</v>
      </c>
      <c r="G380" s="240"/>
      <c r="H380" s="240"/>
      <c r="I380" s="240"/>
    </row>
    <row r="381" spans="6:9" ht="15">
      <c r="F381" s="240"/>
      <c r="G381" s="240"/>
      <c r="H381" s="240"/>
      <c r="I381" s="240"/>
    </row>
    <row r="382" spans="6:9" ht="15">
      <c r="F382" s="240"/>
      <c r="G382" s="240"/>
      <c r="H382" s="240"/>
      <c r="I382" s="240"/>
    </row>
    <row r="383" ht="15">
      <c r="D383" s="16"/>
    </row>
  </sheetData>
  <sheetProtection/>
  <mergeCells count="76">
    <mergeCell ref="F380:I380"/>
    <mergeCell ref="F381:I381"/>
    <mergeCell ref="F382:I382"/>
    <mergeCell ref="A315:I315"/>
    <mergeCell ref="B317:B318"/>
    <mergeCell ref="C317:H318"/>
    <mergeCell ref="B336:E336"/>
    <mergeCell ref="B339:B340"/>
    <mergeCell ref="C339:H340"/>
    <mergeCell ref="B374:E374"/>
    <mergeCell ref="F376:I376"/>
    <mergeCell ref="F377:I377"/>
    <mergeCell ref="A260:I260"/>
    <mergeCell ref="A305:C305"/>
    <mergeCell ref="A306:C306"/>
    <mergeCell ref="F308:I308"/>
    <mergeCell ref="F309:I309"/>
    <mergeCell ref="F312:I312"/>
    <mergeCell ref="A165:I165"/>
    <mergeCell ref="A189:C189"/>
    <mergeCell ref="A190:I190"/>
    <mergeCell ref="A248:C248"/>
    <mergeCell ref="A314:I314"/>
    <mergeCell ref="A252:C252"/>
    <mergeCell ref="A253:I253"/>
    <mergeCell ref="A256:C256"/>
    <mergeCell ref="A257:I257"/>
    <mergeCell ref="A259:C259"/>
    <mergeCell ref="A92:I92"/>
    <mergeCell ref="A114:C114"/>
    <mergeCell ref="A249:I249"/>
    <mergeCell ref="A117:C117"/>
    <mergeCell ref="A118:I118"/>
    <mergeCell ref="A120:C120"/>
    <mergeCell ref="A121:I121"/>
    <mergeCell ref="A142:C142"/>
    <mergeCell ref="A143:I143"/>
    <mergeCell ref="A164:C164"/>
    <mergeCell ref="A115:I115"/>
    <mergeCell ref="G70:H70"/>
    <mergeCell ref="A72:I72"/>
    <mergeCell ref="A75:C75"/>
    <mergeCell ref="A76:I76"/>
    <mergeCell ref="A78:C78"/>
    <mergeCell ref="A79:I79"/>
    <mergeCell ref="A81:C81"/>
    <mergeCell ref="A82:I82"/>
    <mergeCell ref="A91:C91"/>
    <mergeCell ref="A67:I67"/>
    <mergeCell ref="A69:A71"/>
    <mergeCell ref="B69:C71"/>
    <mergeCell ref="D69:E69"/>
    <mergeCell ref="F69:F71"/>
    <mergeCell ref="G69:H69"/>
    <mergeCell ref="I69:I71"/>
    <mergeCell ref="D70:E70"/>
    <mergeCell ref="A9:B9"/>
    <mergeCell ref="E25:E26"/>
    <mergeCell ref="F25:F26"/>
    <mergeCell ref="A65:I65"/>
    <mergeCell ref="A66:I66"/>
    <mergeCell ref="E55:F55"/>
    <mergeCell ref="A10:B10"/>
    <mergeCell ref="E24:F24"/>
    <mergeCell ref="B25:B26"/>
    <mergeCell ref="E54:F54"/>
    <mergeCell ref="C25:C26"/>
    <mergeCell ref="D25:D26"/>
    <mergeCell ref="E52:F52"/>
    <mergeCell ref="A1:F1"/>
    <mergeCell ref="A2:F2"/>
    <mergeCell ref="A3:F3"/>
    <mergeCell ref="A4:F4"/>
    <mergeCell ref="A5:F5"/>
    <mergeCell ref="E7:F7"/>
    <mergeCell ref="A8:B8"/>
  </mergeCells>
  <printOptions horizontalCentered="1"/>
  <pageMargins left="0.32" right="0.39" top="0.64" bottom="1.49" header="0.3" footer="0.3"/>
  <pageSetup orientation="portrait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4"/>
  <sheetViews>
    <sheetView zoomScalePageLayoutView="0" workbookViewId="0" topLeftCell="A329">
      <selection activeCell="C18" sqref="C18"/>
    </sheetView>
  </sheetViews>
  <sheetFormatPr defaultColWidth="11.00390625" defaultRowHeight="15"/>
  <cols>
    <col min="1" max="1" width="5.421875" style="0" bestFit="1" customWidth="1"/>
    <col min="2" max="2" width="4.28125" style="0" bestFit="1" customWidth="1"/>
    <col min="3" max="3" width="34.421875" style="0" customWidth="1"/>
    <col min="4" max="4" width="18.7109375" style="0" customWidth="1"/>
    <col min="5" max="6" width="20.7109375" style="0" customWidth="1"/>
    <col min="7" max="9" width="16.7109375" style="0" customWidth="1"/>
    <col min="10" max="10" width="14.7109375" style="0" customWidth="1"/>
    <col min="11" max="11" width="12.5742187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785</v>
      </c>
      <c r="F7" s="259"/>
    </row>
    <row r="8" spans="1:6" ht="18.75">
      <c r="A8" s="246" t="s">
        <v>748</v>
      </c>
      <c r="B8" s="246"/>
      <c r="C8" s="136" t="s">
        <v>871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136"/>
      <c r="F20" s="136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869</v>
      </c>
      <c r="C22" s="135"/>
      <c r="D22" s="135"/>
      <c r="E22" s="135"/>
      <c r="F22" s="137"/>
    </row>
    <row r="23" spans="2:6" ht="18.75">
      <c r="B23" s="135" t="s">
        <v>786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787</v>
      </c>
      <c r="D29" s="147"/>
      <c r="E29" s="147"/>
      <c r="F29" s="148">
        <f>'[1]januari 2017'!F28</f>
        <v>1817513369</v>
      </c>
    </row>
    <row r="30" spans="1:6" ht="18.75">
      <c r="A30" s="140"/>
      <c r="B30" s="145"/>
      <c r="C30" s="146" t="s">
        <v>788</v>
      </c>
      <c r="D30" s="149">
        <v>97625271</v>
      </c>
      <c r="E30" s="150"/>
      <c r="F30" s="147"/>
    </row>
    <row r="31" spans="1:6" ht="18.75">
      <c r="A31" s="140"/>
      <c r="B31" s="145"/>
      <c r="C31" s="146" t="s">
        <v>789</v>
      </c>
      <c r="D31" s="147"/>
      <c r="E31" s="151">
        <v>18685900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1896452740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787</v>
      </c>
      <c r="D34" s="157"/>
      <c r="E34" s="158"/>
      <c r="F34" s="157">
        <f>'[1]januari 2017'!F30</f>
        <v>2675000</v>
      </c>
    </row>
    <row r="35" spans="1:6" ht="18.75">
      <c r="A35" s="140"/>
      <c r="B35" s="145"/>
      <c r="C35" s="146" t="s">
        <v>788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789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97625271</v>
      </c>
      <c r="E38" s="160">
        <f>E31+E36</f>
        <v>18685900</v>
      </c>
      <c r="F38" s="161">
        <f>F32+F37</f>
        <v>1899127740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787</v>
      </c>
      <c r="D41" s="147"/>
      <c r="E41" s="166"/>
      <c r="F41" s="160">
        <f>'[1]januari 2017'!F40</f>
        <v>1151312680</v>
      </c>
    </row>
    <row r="42" spans="1:6" ht="18.75">
      <c r="A42" s="167"/>
      <c r="B42" s="145"/>
      <c r="C42" s="146" t="s">
        <v>788</v>
      </c>
      <c r="D42" s="150">
        <v>42836569</v>
      </c>
      <c r="E42" s="168"/>
      <c r="F42" s="166"/>
    </row>
    <row r="43" spans="1:6" ht="18.75">
      <c r="A43" s="140"/>
      <c r="B43" s="145"/>
      <c r="C43" s="146" t="s">
        <v>789</v>
      </c>
      <c r="D43" s="150"/>
      <c r="E43" s="196">
        <v>17650479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1176498770</v>
      </c>
    </row>
    <row r="45" spans="1:6" ht="18.75">
      <c r="A45" s="140"/>
      <c r="B45" s="145"/>
      <c r="C45" s="171" t="s">
        <v>790</v>
      </c>
      <c r="D45" s="172">
        <f>D30+D42</f>
        <v>140461840</v>
      </c>
      <c r="E45" s="172">
        <f>E31+E43</f>
        <v>36336379</v>
      </c>
      <c r="F45" s="173">
        <f>F38+F44</f>
        <v>3075626510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79"/>
    </row>
    <row r="49" spans="1:6" ht="18.75">
      <c r="A49" s="175"/>
      <c r="B49" s="176" t="s">
        <v>773</v>
      </c>
      <c r="C49" s="137"/>
      <c r="D49" s="177"/>
      <c r="E49" s="137"/>
      <c r="F49" s="180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4" spans="1:9" ht="22.5">
      <c r="A64" s="206" t="s">
        <v>0</v>
      </c>
      <c r="B64" s="206"/>
      <c r="C64" s="206"/>
      <c r="D64" s="206"/>
      <c r="E64" s="206"/>
      <c r="F64" s="206"/>
      <c r="G64" s="206"/>
      <c r="H64" s="206"/>
      <c r="I64" s="206"/>
    </row>
    <row r="65" spans="1:9" ht="22.5">
      <c r="A65" s="206" t="s">
        <v>1</v>
      </c>
      <c r="B65" s="206"/>
      <c r="C65" s="206"/>
      <c r="D65" s="206"/>
      <c r="E65" s="206"/>
      <c r="F65" s="206"/>
      <c r="G65" s="206"/>
      <c r="H65" s="206"/>
      <c r="I65" s="206"/>
    </row>
    <row r="66" spans="1:9" ht="20.25">
      <c r="A66" s="207" t="s">
        <v>235</v>
      </c>
      <c r="B66" s="207"/>
      <c r="C66" s="207"/>
      <c r="D66" s="207"/>
      <c r="E66" s="207"/>
      <c r="F66" s="207"/>
      <c r="G66" s="207"/>
      <c r="H66" s="207"/>
      <c r="I66" s="207"/>
    </row>
    <row r="67" spans="1:9" ht="15.75" thickBot="1">
      <c r="A67" s="1"/>
      <c r="B67" s="1"/>
      <c r="C67" s="1"/>
      <c r="D67" s="1"/>
      <c r="E67" s="1"/>
      <c r="F67" s="1"/>
      <c r="G67" s="1"/>
      <c r="H67" s="1"/>
      <c r="I67" s="1"/>
    </row>
    <row r="68" spans="1:9" ht="15.75" thickTop="1">
      <c r="A68" s="208" t="s">
        <v>2</v>
      </c>
      <c r="B68" s="211" t="s">
        <v>3</v>
      </c>
      <c r="C68" s="267"/>
      <c r="D68" s="217" t="s">
        <v>4</v>
      </c>
      <c r="E68" s="218"/>
      <c r="F68" s="219" t="s">
        <v>5</v>
      </c>
      <c r="G68" s="217" t="s">
        <v>4</v>
      </c>
      <c r="H68" s="218"/>
      <c r="I68" s="219" t="s">
        <v>5</v>
      </c>
    </row>
    <row r="69" spans="1:9" ht="15">
      <c r="A69" s="209"/>
      <c r="B69" s="213"/>
      <c r="C69" s="268"/>
      <c r="D69" s="222" t="s">
        <v>237</v>
      </c>
      <c r="E69" s="223"/>
      <c r="F69" s="220"/>
      <c r="G69" s="222" t="s">
        <v>236</v>
      </c>
      <c r="H69" s="223"/>
      <c r="I69" s="220"/>
    </row>
    <row r="70" spans="1:12" ht="15">
      <c r="A70" s="210"/>
      <c r="B70" s="215"/>
      <c r="C70" s="269"/>
      <c r="D70" s="2" t="s">
        <v>6</v>
      </c>
      <c r="E70" s="2" t="s">
        <v>7</v>
      </c>
      <c r="F70" s="221"/>
      <c r="G70" s="2" t="s">
        <v>6</v>
      </c>
      <c r="H70" s="2" t="s">
        <v>7</v>
      </c>
      <c r="I70" s="221"/>
      <c r="L70" t="s">
        <v>198</v>
      </c>
    </row>
    <row r="71" spans="1:9" ht="15">
      <c r="A71" s="230" t="s">
        <v>8</v>
      </c>
      <c r="B71" s="231"/>
      <c r="C71" s="231"/>
      <c r="D71" s="231"/>
      <c r="E71" s="231"/>
      <c r="F71" s="231"/>
      <c r="G71" s="231"/>
      <c r="H71" s="231"/>
      <c r="I71" s="232"/>
    </row>
    <row r="72" spans="1:9" ht="15">
      <c r="A72" s="80">
        <v>1</v>
      </c>
      <c r="B72" s="3">
        <v>1</v>
      </c>
      <c r="C72" s="4" t="s">
        <v>9</v>
      </c>
      <c r="D72" s="5"/>
      <c r="E72" s="5"/>
      <c r="F72" s="6">
        <f>SUM(D72:E72)</f>
        <v>0</v>
      </c>
      <c r="G72" s="5"/>
      <c r="H72" s="5"/>
      <c r="I72" s="6">
        <f>SUM(G72:H72)</f>
        <v>0</v>
      </c>
    </row>
    <row r="73" spans="1:9" ht="15">
      <c r="A73" s="80">
        <v>2</v>
      </c>
      <c r="B73" s="3">
        <v>2</v>
      </c>
      <c r="C73" s="4" t="s">
        <v>10</v>
      </c>
      <c r="D73" s="5"/>
      <c r="E73" s="5"/>
      <c r="F73" s="6">
        <f>SUM(D73:E73)</f>
        <v>0</v>
      </c>
      <c r="G73" s="5"/>
      <c r="H73" s="5"/>
      <c r="I73" s="6">
        <f>SUM(G73:H73)</f>
        <v>0</v>
      </c>
    </row>
    <row r="74" spans="1:9" ht="15">
      <c r="A74" s="224" t="s">
        <v>5</v>
      </c>
      <c r="B74" s="225"/>
      <c r="C74" s="225"/>
      <c r="D74" s="7">
        <f>SUM(D72:D73)</f>
        <v>0</v>
      </c>
      <c r="E74" s="8">
        <f>SUM(E72:E73)</f>
        <v>0</v>
      </c>
      <c r="F74" s="7">
        <f>SUM(D74:E74)</f>
        <v>0</v>
      </c>
      <c r="G74" s="7">
        <f>SUM(G72:G73)</f>
        <v>0</v>
      </c>
      <c r="H74" s="8">
        <f>SUM(H72:H73)</f>
        <v>0</v>
      </c>
      <c r="I74" s="7">
        <f>SUM(G74:H74)</f>
        <v>0</v>
      </c>
    </row>
    <row r="75" spans="1:9" ht="15">
      <c r="A75" s="227" t="s">
        <v>11</v>
      </c>
      <c r="B75" s="228"/>
      <c r="C75" s="228"/>
      <c r="D75" s="228"/>
      <c r="E75" s="228"/>
      <c r="F75" s="228"/>
      <c r="G75" s="228"/>
      <c r="H75" s="228"/>
      <c r="I75" s="229"/>
    </row>
    <row r="76" spans="1:9" ht="15">
      <c r="A76" s="9">
        <v>3</v>
      </c>
      <c r="B76" s="9">
        <v>1</v>
      </c>
      <c r="C76" s="10" t="s">
        <v>12</v>
      </c>
      <c r="D76" s="5">
        <v>1863770</v>
      </c>
      <c r="E76" s="5"/>
      <c r="F76" s="6">
        <f>SUM(D76:E76)</f>
        <v>1863770</v>
      </c>
      <c r="G76" s="5">
        <v>2170089</v>
      </c>
      <c r="H76" s="5"/>
      <c r="I76" s="6">
        <f>SUM(G76:H76)</f>
        <v>2170089</v>
      </c>
    </row>
    <row r="77" spans="1:9" ht="15">
      <c r="A77" s="224" t="s">
        <v>5</v>
      </c>
      <c r="B77" s="225"/>
      <c r="C77" s="225"/>
      <c r="D77" s="7">
        <f>SUM(D75:D76)</f>
        <v>1863770</v>
      </c>
      <c r="E77" s="8">
        <f>SUM(E75:E76)</f>
        <v>0</v>
      </c>
      <c r="F77" s="7">
        <f>SUM(D77:E77)</f>
        <v>1863770</v>
      </c>
      <c r="G77" s="7">
        <f>SUM(G75:G76)</f>
        <v>2170089</v>
      </c>
      <c r="H77" s="8">
        <f>SUM(H75:H76)</f>
        <v>0</v>
      </c>
      <c r="I77" s="7">
        <f>SUM(G77:H77)</f>
        <v>2170089</v>
      </c>
    </row>
    <row r="78" spans="1:9" ht="15">
      <c r="A78" s="224" t="s">
        <v>13</v>
      </c>
      <c r="B78" s="225"/>
      <c r="C78" s="225"/>
      <c r="D78" s="225"/>
      <c r="E78" s="225"/>
      <c r="F78" s="225"/>
      <c r="G78" s="225"/>
      <c r="H78" s="225"/>
      <c r="I78" s="226"/>
    </row>
    <row r="79" spans="1:9" ht="15">
      <c r="A79" s="11">
        <v>4</v>
      </c>
      <c r="B79" s="12">
        <v>1</v>
      </c>
      <c r="C79" s="13" t="s">
        <v>14</v>
      </c>
      <c r="D79" s="5">
        <v>1874500</v>
      </c>
      <c r="E79" s="5">
        <v>464000</v>
      </c>
      <c r="F79" s="6">
        <f aca="true" t="shared" si="0" ref="F79:F86">SUM(D79:E79)</f>
        <v>2338500</v>
      </c>
      <c r="G79" s="5">
        <v>2441800</v>
      </c>
      <c r="H79" s="5">
        <v>449000</v>
      </c>
      <c r="I79" s="6">
        <f aca="true" t="shared" si="1" ref="I79:I86">SUM(G79:H79)</f>
        <v>2890800</v>
      </c>
    </row>
    <row r="80" spans="1:9" ht="15">
      <c r="A80" s="11">
        <v>5</v>
      </c>
      <c r="B80" s="12">
        <v>2</v>
      </c>
      <c r="C80" s="13" t="s">
        <v>234</v>
      </c>
      <c r="D80" s="5">
        <v>1022200</v>
      </c>
      <c r="E80" s="5">
        <v>286550</v>
      </c>
      <c r="F80" s="6">
        <f t="shared" si="0"/>
        <v>1308750</v>
      </c>
      <c r="G80" s="5">
        <v>1339656</v>
      </c>
      <c r="H80" s="5">
        <v>180550</v>
      </c>
      <c r="I80" s="6">
        <f t="shared" si="1"/>
        <v>1520206</v>
      </c>
    </row>
    <row r="81" spans="1:9" ht="15">
      <c r="A81" s="11">
        <v>6</v>
      </c>
      <c r="B81" s="12">
        <v>3</v>
      </c>
      <c r="C81" s="13" t="s">
        <v>15</v>
      </c>
      <c r="D81" s="5">
        <v>2560700</v>
      </c>
      <c r="E81" s="14">
        <v>269300</v>
      </c>
      <c r="F81" s="6">
        <f t="shared" si="0"/>
        <v>2830000</v>
      </c>
      <c r="G81" s="5">
        <v>2595700</v>
      </c>
      <c r="H81" s="14">
        <v>264300</v>
      </c>
      <c r="I81" s="6">
        <f t="shared" si="1"/>
        <v>2860000</v>
      </c>
    </row>
    <row r="82" spans="1:9" ht="15">
      <c r="A82" s="11">
        <v>7</v>
      </c>
      <c r="B82" s="12">
        <v>4</v>
      </c>
      <c r="C82" s="13" t="s">
        <v>16</v>
      </c>
      <c r="D82" s="5"/>
      <c r="E82" s="5"/>
      <c r="F82" s="6">
        <f t="shared" si="0"/>
        <v>0</v>
      </c>
      <c r="G82" s="5"/>
      <c r="H82" s="5"/>
      <c r="I82" s="6">
        <f t="shared" si="1"/>
        <v>0</v>
      </c>
    </row>
    <row r="83" spans="1:9" ht="15">
      <c r="A83" s="11">
        <v>8</v>
      </c>
      <c r="B83" s="12">
        <v>5</v>
      </c>
      <c r="C83" s="13" t="s">
        <v>17</v>
      </c>
      <c r="D83" s="5"/>
      <c r="E83" s="5"/>
      <c r="F83" s="6">
        <f t="shared" si="0"/>
        <v>0</v>
      </c>
      <c r="G83" s="5"/>
      <c r="H83" s="5"/>
      <c r="I83" s="6">
        <f t="shared" si="1"/>
        <v>0</v>
      </c>
    </row>
    <row r="84" spans="1:9" ht="15">
      <c r="A84" s="11">
        <v>9</v>
      </c>
      <c r="B84" s="12">
        <v>6</v>
      </c>
      <c r="C84" s="13" t="s">
        <v>18</v>
      </c>
      <c r="D84" s="5">
        <v>1528000</v>
      </c>
      <c r="E84" s="5">
        <v>52000</v>
      </c>
      <c r="F84" s="6">
        <f t="shared" si="0"/>
        <v>1580000</v>
      </c>
      <c r="G84" s="5"/>
      <c r="H84" s="5"/>
      <c r="I84" s="6">
        <f t="shared" si="1"/>
        <v>0</v>
      </c>
    </row>
    <row r="85" spans="1:9" ht="15">
      <c r="A85" s="11">
        <v>10</v>
      </c>
      <c r="B85" s="12">
        <v>7</v>
      </c>
      <c r="C85" s="15" t="s">
        <v>19</v>
      </c>
      <c r="D85" s="5">
        <v>324810</v>
      </c>
      <c r="E85" s="5">
        <v>58000</v>
      </c>
      <c r="F85" s="6">
        <f t="shared" si="0"/>
        <v>382810</v>
      </c>
      <c r="G85" s="5">
        <v>226610</v>
      </c>
      <c r="H85" s="5">
        <v>63000</v>
      </c>
      <c r="I85" s="6">
        <f t="shared" si="1"/>
        <v>289610</v>
      </c>
    </row>
    <row r="86" spans="1:11" ht="15">
      <c r="A86" s="224" t="s">
        <v>5</v>
      </c>
      <c r="B86" s="225"/>
      <c r="C86" s="225"/>
      <c r="D86" s="7">
        <f>SUM(D79:D85)</f>
        <v>7310210</v>
      </c>
      <c r="E86" s="7">
        <f>SUM(E79:E85)</f>
        <v>1129850</v>
      </c>
      <c r="F86" s="7">
        <f t="shared" si="0"/>
        <v>8440060</v>
      </c>
      <c r="G86" s="7">
        <f>SUM(G79:G85)</f>
        <v>6603766</v>
      </c>
      <c r="H86" s="7">
        <f>SUM(H79:H85)</f>
        <v>956850</v>
      </c>
      <c r="I86" s="7">
        <f t="shared" si="1"/>
        <v>7560616</v>
      </c>
      <c r="K86" s="16"/>
    </row>
    <row r="87" spans="1:9" ht="15">
      <c r="A87" s="224" t="s">
        <v>20</v>
      </c>
      <c r="B87" s="225"/>
      <c r="C87" s="225"/>
      <c r="D87" s="225"/>
      <c r="E87" s="225"/>
      <c r="F87" s="225"/>
      <c r="G87" s="225"/>
      <c r="H87" s="225"/>
      <c r="I87" s="226"/>
    </row>
    <row r="88" spans="1:9" ht="15">
      <c r="A88" s="17">
        <v>11</v>
      </c>
      <c r="B88" s="15">
        <v>1</v>
      </c>
      <c r="C88" s="13" t="s">
        <v>255</v>
      </c>
      <c r="D88" s="5">
        <v>2399738</v>
      </c>
      <c r="E88" s="18">
        <v>1439215</v>
      </c>
      <c r="F88" s="6">
        <f>SUM(D88:E88)</f>
        <v>3838953</v>
      </c>
      <c r="G88" s="5"/>
      <c r="H88" s="18"/>
      <c r="I88" s="6">
        <f>SUM(G88:H88)</f>
        <v>0</v>
      </c>
    </row>
    <row r="89" spans="1:9" ht="15">
      <c r="A89" s="17">
        <v>12</v>
      </c>
      <c r="B89" s="15">
        <v>2</v>
      </c>
      <c r="C89" s="13" t="s">
        <v>21</v>
      </c>
      <c r="D89" s="5">
        <v>3711498</v>
      </c>
      <c r="E89" s="5">
        <v>5110000</v>
      </c>
      <c r="F89" s="6">
        <f aca="true" t="shared" si="2" ref="F89:F101">SUM(D89:E89)</f>
        <v>8821498</v>
      </c>
      <c r="G89" s="5">
        <v>3822683</v>
      </c>
      <c r="H89" s="5">
        <v>5070000</v>
      </c>
      <c r="I89" s="6">
        <f aca="true" t="shared" si="3" ref="I89:I107">SUM(G89:H89)</f>
        <v>8892683</v>
      </c>
    </row>
    <row r="90" spans="1:9" ht="15">
      <c r="A90" s="17">
        <v>13</v>
      </c>
      <c r="B90" s="15">
        <v>3</v>
      </c>
      <c r="C90" s="13" t="s">
        <v>22</v>
      </c>
      <c r="D90" s="5">
        <v>2703828</v>
      </c>
      <c r="E90" s="5">
        <v>772000</v>
      </c>
      <c r="F90" s="6">
        <f t="shared" si="2"/>
        <v>3475828</v>
      </c>
      <c r="G90" s="5">
        <v>2409850</v>
      </c>
      <c r="H90" s="5">
        <v>666000</v>
      </c>
      <c r="I90" s="6">
        <f t="shared" si="3"/>
        <v>3075850</v>
      </c>
    </row>
    <row r="91" spans="1:9" ht="15">
      <c r="A91" s="17">
        <v>14</v>
      </c>
      <c r="B91" s="15">
        <v>4</v>
      </c>
      <c r="C91" s="13" t="s">
        <v>253</v>
      </c>
      <c r="D91" s="5">
        <v>969587</v>
      </c>
      <c r="E91" s="5">
        <v>1405392</v>
      </c>
      <c r="F91" s="6">
        <f t="shared" si="2"/>
        <v>2374979</v>
      </c>
      <c r="G91" s="5">
        <v>756486</v>
      </c>
      <c r="H91" s="5">
        <v>788785</v>
      </c>
      <c r="I91" s="6">
        <f t="shared" si="3"/>
        <v>1545271</v>
      </c>
    </row>
    <row r="92" spans="1:9" ht="15">
      <c r="A92" s="17">
        <v>15</v>
      </c>
      <c r="B92" s="15">
        <v>5</v>
      </c>
      <c r="C92" s="13" t="s">
        <v>24</v>
      </c>
      <c r="D92" s="5">
        <v>2459700</v>
      </c>
      <c r="E92" s="5">
        <v>95000</v>
      </c>
      <c r="F92" s="6">
        <f t="shared" si="2"/>
        <v>2554700</v>
      </c>
      <c r="G92" s="5">
        <v>2320200</v>
      </c>
      <c r="H92" s="5">
        <v>90000</v>
      </c>
      <c r="I92" s="6">
        <f t="shared" si="3"/>
        <v>2410200</v>
      </c>
    </row>
    <row r="93" spans="1:9" ht="15">
      <c r="A93" s="17">
        <v>16</v>
      </c>
      <c r="B93" s="15">
        <v>6</v>
      </c>
      <c r="C93" s="13" t="s">
        <v>25</v>
      </c>
      <c r="D93" s="5">
        <v>2082500</v>
      </c>
      <c r="E93" s="5">
        <v>127000</v>
      </c>
      <c r="F93" s="6">
        <f t="shared" si="2"/>
        <v>2209500</v>
      </c>
      <c r="G93" s="5">
        <v>1730700</v>
      </c>
      <c r="H93" s="5">
        <v>705000</v>
      </c>
      <c r="I93" s="6">
        <f t="shared" si="3"/>
        <v>2435700</v>
      </c>
    </row>
    <row r="94" spans="1:9" ht="15">
      <c r="A94" s="17">
        <v>17</v>
      </c>
      <c r="B94" s="15">
        <v>7</v>
      </c>
      <c r="C94" s="13" t="s">
        <v>26</v>
      </c>
      <c r="D94" s="5">
        <v>4211500</v>
      </c>
      <c r="E94" s="5">
        <v>184650</v>
      </c>
      <c r="F94" s="6">
        <f t="shared" si="2"/>
        <v>4396150</v>
      </c>
      <c r="G94" s="5">
        <v>4022000</v>
      </c>
      <c r="H94" s="5">
        <v>182500</v>
      </c>
      <c r="I94" s="6">
        <f t="shared" si="3"/>
        <v>4204500</v>
      </c>
    </row>
    <row r="95" spans="1:9" ht="15">
      <c r="A95" s="17">
        <v>18</v>
      </c>
      <c r="B95" s="15">
        <v>8</v>
      </c>
      <c r="C95" s="95" t="s">
        <v>242</v>
      </c>
      <c r="D95" s="5">
        <f>1070652+1378700</f>
        <v>2449352</v>
      </c>
      <c r="E95" s="5">
        <v>755450</v>
      </c>
      <c r="F95" s="6">
        <f t="shared" si="2"/>
        <v>3204802</v>
      </c>
      <c r="G95" s="5">
        <v>3563700</v>
      </c>
      <c r="H95" s="5"/>
      <c r="I95" s="6">
        <f t="shared" si="3"/>
        <v>3563700</v>
      </c>
    </row>
    <row r="96" spans="1:9" ht="15">
      <c r="A96" s="17">
        <v>19</v>
      </c>
      <c r="B96" s="15">
        <v>9</v>
      </c>
      <c r="C96" s="95" t="s">
        <v>28</v>
      </c>
      <c r="D96" s="5">
        <v>860000</v>
      </c>
      <c r="E96" s="5">
        <v>152000</v>
      </c>
      <c r="F96" s="6">
        <f t="shared" si="2"/>
        <v>1012000</v>
      </c>
      <c r="G96" s="5"/>
      <c r="H96" s="5"/>
      <c r="I96" s="6">
        <f t="shared" si="3"/>
        <v>0</v>
      </c>
    </row>
    <row r="97" spans="1:9" ht="15">
      <c r="A97" s="17">
        <v>20</v>
      </c>
      <c r="B97" s="15">
        <v>10</v>
      </c>
      <c r="C97" s="95" t="s">
        <v>29</v>
      </c>
      <c r="D97" s="5">
        <v>3010732</v>
      </c>
      <c r="E97" s="5">
        <v>58000</v>
      </c>
      <c r="F97" s="6">
        <f t="shared" si="2"/>
        <v>3068732</v>
      </c>
      <c r="G97" s="5">
        <v>2336024</v>
      </c>
      <c r="H97" s="5">
        <v>357000</v>
      </c>
      <c r="I97" s="6">
        <f t="shared" si="3"/>
        <v>2693024</v>
      </c>
    </row>
    <row r="98" spans="1:9" ht="15">
      <c r="A98" s="17">
        <v>21</v>
      </c>
      <c r="B98" s="15">
        <v>11</v>
      </c>
      <c r="C98" s="95" t="s">
        <v>203</v>
      </c>
      <c r="D98" s="5">
        <v>2872389</v>
      </c>
      <c r="E98" s="5">
        <v>1340000</v>
      </c>
      <c r="F98" s="6">
        <f t="shared" si="2"/>
        <v>4212389</v>
      </c>
      <c r="G98" s="5">
        <v>2691295</v>
      </c>
      <c r="H98" s="5">
        <v>1445000</v>
      </c>
      <c r="I98" s="6">
        <f t="shared" si="3"/>
        <v>4136295</v>
      </c>
    </row>
    <row r="99" spans="1:9" ht="15">
      <c r="A99" s="17">
        <v>22</v>
      </c>
      <c r="B99" s="15">
        <v>12</v>
      </c>
      <c r="C99" s="95" t="s">
        <v>244</v>
      </c>
      <c r="D99" s="5">
        <v>1324800</v>
      </c>
      <c r="E99" s="5">
        <v>464192</v>
      </c>
      <c r="F99" s="6">
        <f t="shared" si="2"/>
        <v>1788992</v>
      </c>
      <c r="G99" s="5">
        <f>2219688+1411875</f>
        <v>3631563</v>
      </c>
      <c r="H99" s="5">
        <f>1411215+384133</f>
        <v>1795348</v>
      </c>
      <c r="I99" s="6">
        <f t="shared" si="3"/>
        <v>5426911</v>
      </c>
    </row>
    <row r="100" spans="1:9" ht="15">
      <c r="A100" s="17">
        <v>23</v>
      </c>
      <c r="B100" s="15">
        <v>13</v>
      </c>
      <c r="C100" s="95" t="s">
        <v>31</v>
      </c>
      <c r="D100" s="5">
        <v>1677600</v>
      </c>
      <c r="E100" s="18">
        <v>540000</v>
      </c>
      <c r="F100" s="6">
        <f t="shared" si="2"/>
        <v>2217600</v>
      </c>
      <c r="G100" s="5">
        <v>1393000</v>
      </c>
      <c r="H100" s="18">
        <v>330000</v>
      </c>
      <c r="I100" s="6">
        <f t="shared" si="3"/>
        <v>1723000</v>
      </c>
    </row>
    <row r="101" spans="1:9" ht="15">
      <c r="A101" s="17">
        <v>24</v>
      </c>
      <c r="B101" s="15">
        <v>14</v>
      </c>
      <c r="C101" s="95" t="s">
        <v>32</v>
      </c>
      <c r="D101" s="5"/>
      <c r="E101" s="5"/>
      <c r="F101" s="6">
        <f t="shared" si="2"/>
        <v>0</v>
      </c>
      <c r="G101" s="5"/>
      <c r="H101" s="5"/>
      <c r="I101" s="6">
        <f t="shared" si="3"/>
        <v>0</v>
      </c>
    </row>
    <row r="102" spans="1:9" ht="15">
      <c r="A102" s="17">
        <v>25</v>
      </c>
      <c r="B102" s="15">
        <v>15</v>
      </c>
      <c r="C102" s="95" t="s">
        <v>229</v>
      </c>
      <c r="D102" s="5">
        <v>3779900</v>
      </c>
      <c r="E102" s="5"/>
      <c r="F102" s="6">
        <f aca="true" t="shared" si="4" ref="F102:F107">SUM(D102:E102)</f>
        <v>3779900</v>
      </c>
      <c r="G102" s="5"/>
      <c r="H102" s="5"/>
      <c r="I102" s="6">
        <f t="shared" si="3"/>
        <v>0</v>
      </c>
    </row>
    <row r="103" spans="1:9" ht="15">
      <c r="A103" s="17">
        <v>26</v>
      </c>
      <c r="B103" s="15">
        <v>16</v>
      </c>
      <c r="C103" s="95" t="s">
        <v>230</v>
      </c>
      <c r="D103" s="5">
        <v>1507700</v>
      </c>
      <c r="E103" s="5">
        <v>1964500</v>
      </c>
      <c r="F103" s="6">
        <f t="shared" si="4"/>
        <v>3472200</v>
      </c>
      <c r="G103" s="5">
        <v>1078500</v>
      </c>
      <c r="H103" s="5">
        <v>1815100</v>
      </c>
      <c r="I103" s="6">
        <f t="shared" si="3"/>
        <v>2893600</v>
      </c>
    </row>
    <row r="104" spans="1:9" ht="15">
      <c r="A104" s="17">
        <v>27</v>
      </c>
      <c r="B104" s="15">
        <v>17</v>
      </c>
      <c r="C104" s="95" t="s">
        <v>252</v>
      </c>
      <c r="D104" s="5">
        <v>1467063</v>
      </c>
      <c r="E104" s="5">
        <v>44000</v>
      </c>
      <c r="F104" s="6">
        <f t="shared" si="4"/>
        <v>1511063</v>
      </c>
      <c r="G104" s="5">
        <v>1205353</v>
      </c>
      <c r="H104" s="5">
        <v>25000</v>
      </c>
      <c r="I104" s="6">
        <f t="shared" si="3"/>
        <v>1230353</v>
      </c>
    </row>
    <row r="105" spans="1:9" ht="15">
      <c r="A105" s="17">
        <v>28</v>
      </c>
      <c r="B105" s="15">
        <v>18</v>
      </c>
      <c r="C105" s="95" t="s">
        <v>233</v>
      </c>
      <c r="D105" s="5">
        <v>100000</v>
      </c>
      <c r="E105" s="5">
        <v>65000</v>
      </c>
      <c r="F105" s="6">
        <f t="shared" si="4"/>
        <v>165000</v>
      </c>
      <c r="G105" s="5"/>
      <c r="H105" s="5"/>
      <c r="I105" s="6">
        <f t="shared" si="3"/>
        <v>0</v>
      </c>
    </row>
    <row r="106" spans="1:9" ht="15">
      <c r="A106" s="17">
        <v>29</v>
      </c>
      <c r="B106" s="15">
        <v>19</v>
      </c>
      <c r="C106" s="96" t="s">
        <v>240</v>
      </c>
      <c r="D106" s="5"/>
      <c r="E106" s="5"/>
      <c r="F106" s="6">
        <f t="shared" si="4"/>
        <v>0</v>
      </c>
      <c r="G106" s="5">
        <v>3126750</v>
      </c>
      <c r="H106" s="5"/>
      <c r="I106" s="6">
        <f t="shared" si="3"/>
        <v>3126750</v>
      </c>
    </row>
    <row r="107" spans="1:9" ht="15">
      <c r="A107" s="17">
        <v>30</v>
      </c>
      <c r="B107" s="15">
        <v>20</v>
      </c>
      <c r="C107" s="96" t="s">
        <v>243</v>
      </c>
      <c r="D107" s="5"/>
      <c r="E107" s="5"/>
      <c r="F107" s="6">
        <f t="shared" si="4"/>
        <v>0</v>
      </c>
      <c r="G107" s="5">
        <v>480665</v>
      </c>
      <c r="H107" s="5">
        <v>764450</v>
      </c>
      <c r="I107" s="6">
        <f t="shared" si="3"/>
        <v>1245115</v>
      </c>
    </row>
    <row r="108" spans="1:9" ht="15">
      <c r="A108" s="224" t="s">
        <v>5</v>
      </c>
      <c r="B108" s="225"/>
      <c r="C108" s="225"/>
      <c r="D108" s="7">
        <f>SUM(D88:D107)</f>
        <v>37587887</v>
      </c>
      <c r="E108" s="7">
        <f>SUM(E88:E107)</f>
        <v>14516399</v>
      </c>
      <c r="F108" s="7">
        <f>SUM(D108:E108)</f>
        <v>52104286</v>
      </c>
      <c r="G108" s="7">
        <f>SUM(G88:G107)</f>
        <v>34568769</v>
      </c>
      <c r="H108" s="7">
        <f>SUM(H88:H107)</f>
        <v>14034183</v>
      </c>
      <c r="I108" s="7">
        <f>SUM(G108:H108)</f>
        <v>48602952</v>
      </c>
    </row>
    <row r="109" spans="1:9" ht="15">
      <c r="A109" s="224" t="s">
        <v>33</v>
      </c>
      <c r="B109" s="225"/>
      <c r="C109" s="225"/>
      <c r="D109" s="225"/>
      <c r="E109" s="225"/>
      <c r="F109" s="225"/>
      <c r="G109" s="225"/>
      <c r="H109" s="225"/>
      <c r="I109" s="226"/>
    </row>
    <row r="110" spans="1:9" ht="15">
      <c r="A110" s="15">
        <v>31</v>
      </c>
      <c r="B110" s="15">
        <v>1</v>
      </c>
      <c r="C110" s="95" t="s">
        <v>248</v>
      </c>
      <c r="D110" s="5">
        <v>350000</v>
      </c>
      <c r="E110" s="5">
        <v>305000</v>
      </c>
      <c r="F110" s="6">
        <f>SUM(D110:E110)</f>
        <v>655000</v>
      </c>
      <c r="G110" s="5"/>
      <c r="H110" s="5"/>
      <c r="I110" s="6">
        <f>SUM(G110:H110)</f>
        <v>0</v>
      </c>
    </row>
    <row r="111" spans="1:9" ht="15">
      <c r="A111" s="15">
        <v>32</v>
      </c>
      <c r="B111" s="15">
        <v>2</v>
      </c>
      <c r="C111" s="95" t="s">
        <v>249</v>
      </c>
      <c r="D111" s="5"/>
      <c r="E111" s="5"/>
      <c r="F111" s="6">
        <f>SUM(D111:E111)</f>
        <v>0</v>
      </c>
      <c r="G111" s="5">
        <v>388700</v>
      </c>
      <c r="H111" s="5"/>
      <c r="I111" s="6">
        <f>SUM(G111:H111)</f>
        <v>388700</v>
      </c>
    </row>
    <row r="112" spans="1:9" ht="15">
      <c r="A112" s="15">
        <v>33</v>
      </c>
      <c r="B112" s="15">
        <v>3</v>
      </c>
      <c r="C112" s="19" t="s">
        <v>34</v>
      </c>
      <c r="D112" s="5"/>
      <c r="E112" s="5"/>
      <c r="F112" s="6">
        <f aca="true" t="shared" si="5" ref="F112:F119">SUM(D112:E112)</f>
        <v>0</v>
      </c>
      <c r="G112" s="5"/>
      <c r="H112" s="5"/>
      <c r="I112" s="6">
        <f aca="true" t="shared" si="6" ref="I112:I119">SUM(G112:H112)</f>
        <v>0</v>
      </c>
    </row>
    <row r="113" spans="1:9" ht="15">
      <c r="A113" s="15">
        <v>34</v>
      </c>
      <c r="B113" s="15">
        <v>4</v>
      </c>
      <c r="C113" s="19" t="s">
        <v>35</v>
      </c>
      <c r="D113" s="5"/>
      <c r="E113" s="5"/>
      <c r="F113" s="6">
        <f t="shared" si="5"/>
        <v>0</v>
      </c>
      <c r="G113" s="5"/>
      <c r="H113" s="5"/>
      <c r="I113" s="6">
        <f t="shared" si="6"/>
        <v>0</v>
      </c>
    </row>
    <row r="114" spans="1:9" ht="15">
      <c r="A114" s="15">
        <v>35</v>
      </c>
      <c r="B114" s="15">
        <v>5</v>
      </c>
      <c r="C114" s="19" t="s">
        <v>36</v>
      </c>
      <c r="D114" s="5">
        <v>185000</v>
      </c>
      <c r="E114" s="5">
        <v>257000</v>
      </c>
      <c r="F114" s="6">
        <f t="shared" si="5"/>
        <v>442000</v>
      </c>
      <c r="G114" s="5">
        <v>112000</v>
      </c>
      <c r="H114" s="5">
        <v>170000</v>
      </c>
      <c r="I114" s="6">
        <f t="shared" si="6"/>
        <v>282000</v>
      </c>
    </row>
    <row r="115" spans="1:9" ht="15">
      <c r="A115" s="15">
        <v>36</v>
      </c>
      <c r="B115" s="15">
        <v>6</v>
      </c>
      <c r="C115" s="19" t="s">
        <v>37</v>
      </c>
      <c r="D115" s="5">
        <v>148000</v>
      </c>
      <c r="E115" s="5">
        <v>260000</v>
      </c>
      <c r="F115" s="6">
        <f t="shared" si="5"/>
        <v>408000</v>
      </c>
      <c r="G115" s="5"/>
      <c r="H115" s="5"/>
      <c r="I115" s="6">
        <f t="shared" si="6"/>
        <v>0</v>
      </c>
    </row>
    <row r="116" spans="1:9" ht="15">
      <c r="A116" s="15">
        <v>37</v>
      </c>
      <c r="B116" s="15">
        <v>7</v>
      </c>
      <c r="C116" s="19" t="s">
        <v>38</v>
      </c>
      <c r="D116" s="5">
        <v>441000</v>
      </c>
      <c r="E116" s="5">
        <v>42000</v>
      </c>
      <c r="F116" s="6">
        <f t="shared" si="5"/>
        <v>483000</v>
      </c>
      <c r="G116" s="5">
        <v>441000</v>
      </c>
      <c r="H116" s="5">
        <v>42000</v>
      </c>
      <c r="I116" s="6">
        <f t="shared" si="6"/>
        <v>483000</v>
      </c>
    </row>
    <row r="117" spans="1:9" ht="15">
      <c r="A117" s="15">
        <v>38</v>
      </c>
      <c r="B117" s="15">
        <v>8</v>
      </c>
      <c r="C117" s="19" t="s">
        <v>39</v>
      </c>
      <c r="D117" s="5">
        <v>640600</v>
      </c>
      <c r="E117" s="5">
        <v>313500</v>
      </c>
      <c r="F117" s="6">
        <f t="shared" si="5"/>
        <v>954100</v>
      </c>
      <c r="G117" s="5">
        <v>1062003</v>
      </c>
      <c r="H117" s="5">
        <v>350500</v>
      </c>
      <c r="I117" s="6">
        <f t="shared" si="6"/>
        <v>1412503</v>
      </c>
    </row>
    <row r="118" spans="1:9" ht="15">
      <c r="A118" s="15">
        <v>39</v>
      </c>
      <c r="B118" s="15">
        <v>9</v>
      </c>
      <c r="C118" s="19" t="s">
        <v>40</v>
      </c>
      <c r="D118" s="5">
        <v>467300</v>
      </c>
      <c r="E118" s="5">
        <v>145000</v>
      </c>
      <c r="F118" s="6">
        <f t="shared" si="5"/>
        <v>612300</v>
      </c>
      <c r="G118" s="5">
        <v>485400</v>
      </c>
      <c r="H118" s="5">
        <v>135000</v>
      </c>
      <c r="I118" s="6">
        <f t="shared" si="6"/>
        <v>620400</v>
      </c>
    </row>
    <row r="119" spans="1:9" ht="15">
      <c r="A119" s="15">
        <v>40</v>
      </c>
      <c r="B119" s="15">
        <v>10</v>
      </c>
      <c r="C119" s="20" t="s">
        <v>41</v>
      </c>
      <c r="D119" s="5">
        <v>887350</v>
      </c>
      <c r="E119" s="5">
        <v>303000</v>
      </c>
      <c r="F119" s="6">
        <f t="shared" si="5"/>
        <v>1190350</v>
      </c>
      <c r="G119" s="5">
        <v>1090200</v>
      </c>
      <c r="H119" s="5">
        <v>175000</v>
      </c>
      <c r="I119" s="6">
        <f t="shared" si="6"/>
        <v>1265200</v>
      </c>
    </row>
    <row r="120" spans="1:9" ht="15">
      <c r="A120" s="15">
        <v>41</v>
      </c>
      <c r="B120" s="15">
        <v>11</v>
      </c>
      <c r="C120" s="97" t="s">
        <v>241</v>
      </c>
      <c r="D120" s="5"/>
      <c r="E120" s="5"/>
      <c r="F120" s="6">
        <f>SUM(D120:E120)</f>
        <v>0</v>
      </c>
      <c r="G120" s="5">
        <v>411700</v>
      </c>
      <c r="H120" s="5">
        <v>230000</v>
      </c>
      <c r="I120" s="6">
        <f>SUM(G120:H120)</f>
        <v>641700</v>
      </c>
    </row>
    <row r="121" spans="1:9" ht="15">
      <c r="A121" s="224" t="s">
        <v>42</v>
      </c>
      <c r="B121" s="225"/>
      <c r="C121" s="233"/>
      <c r="D121" s="7">
        <f>SUM(D110:D120)</f>
        <v>3119250</v>
      </c>
      <c r="E121" s="7">
        <f>SUM(E110:E119)</f>
        <v>1625500</v>
      </c>
      <c r="F121" s="7">
        <f>SUM(D121:E121)</f>
        <v>4744750</v>
      </c>
      <c r="G121" s="7">
        <f>SUM(G110:G120)</f>
        <v>3991003</v>
      </c>
      <c r="H121" s="7">
        <f>SUM(H110:H120)</f>
        <v>1102500</v>
      </c>
      <c r="I121" s="7">
        <f>SUM(G121:H121)</f>
        <v>5093503</v>
      </c>
    </row>
    <row r="122" spans="1:9" ht="15">
      <c r="A122" s="224" t="s">
        <v>43</v>
      </c>
      <c r="B122" s="225"/>
      <c r="C122" s="225"/>
      <c r="D122" s="225"/>
      <c r="E122" s="225"/>
      <c r="F122" s="225"/>
      <c r="G122" s="225"/>
      <c r="H122" s="225"/>
      <c r="I122" s="226"/>
    </row>
    <row r="123" spans="1:9" ht="15">
      <c r="A123" s="15">
        <v>42</v>
      </c>
      <c r="B123" s="15">
        <v>1</v>
      </c>
      <c r="C123" s="13" t="s">
        <v>44</v>
      </c>
      <c r="D123" s="5"/>
      <c r="E123" s="5"/>
      <c r="F123" s="6">
        <f>SUM(D123:E123)</f>
        <v>0</v>
      </c>
      <c r="G123" s="5">
        <v>1521000</v>
      </c>
      <c r="H123" s="5">
        <v>351000</v>
      </c>
      <c r="I123" s="6">
        <f>SUM(G123:H123)</f>
        <v>1872000</v>
      </c>
    </row>
    <row r="124" spans="1:9" ht="15">
      <c r="A124" s="15">
        <v>43</v>
      </c>
      <c r="B124" s="15">
        <v>2</v>
      </c>
      <c r="C124" s="13" t="s">
        <v>45</v>
      </c>
      <c r="D124" s="5"/>
      <c r="E124" s="5"/>
      <c r="F124" s="6">
        <f>SUM(D124:E124)</f>
        <v>0</v>
      </c>
      <c r="G124" s="5"/>
      <c r="H124" s="5"/>
      <c r="I124" s="6">
        <f>SUM(G124:H124)</f>
        <v>0</v>
      </c>
    </row>
    <row r="125" spans="1:9" ht="15">
      <c r="A125" s="15">
        <v>44</v>
      </c>
      <c r="B125" s="15">
        <v>3</v>
      </c>
      <c r="C125" s="13" t="s">
        <v>46</v>
      </c>
      <c r="D125" s="5">
        <v>382700</v>
      </c>
      <c r="E125" s="5">
        <v>100000</v>
      </c>
      <c r="F125" s="6">
        <f>SUM(D125:E125)</f>
        <v>482700</v>
      </c>
      <c r="G125" s="5">
        <v>769228</v>
      </c>
      <c r="H125" s="5">
        <v>116000</v>
      </c>
      <c r="I125" s="6">
        <f>SUM(G125:H125)</f>
        <v>885228</v>
      </c>
    </row>
    <row r="126" spans="1:9" ht="15">
      <c r="A126" s="224" t="s">
        <v>5</v>
      </c>
      <c r="B126" s="225"/>
      <c r="C126" s="225"/>
      <c r="D126" s="7">
        <f>SUM(D123:D125)</f>
        <v>382700</v>
      </c>
      <c r="E126" s="7">
        <f>SUM(E123:E125)</f>
        <v>100000</v>
      </c>
      <c r="F126" s="7">
        <f>SUM(D126:E126)</f>
        <v>482700</v>
      </c>
      <c r="G126" s="7">
        <f>SUM(G123:G125)</f>
        <v>2290228</v>
      </c>
      <c r="H126" s="7">
        <f>SUM(H123:H125)</f>
        <v>467000</v>
      </c>
      <c r="I126" s="7">
        <f>SUM(G126:H126)</f>
        <v>2757228</v>
      </c>
    </row>
    <row r="127" spans="1:9" ht="15">
      <c r="A127" s="224" t="s">
        <v>47</v>
      </c>
      <c r="B127" s="225"/>
      <c r="C127" s="225"/>
      <c r="D127" s="225"/>
      <c r="E127" s="225"/>
      <c r="F127" s="225"/>
      <c r="G127" s="225"/>
      <c r="H127" s="225"/>
      <c r="I127" s="226"/>
    </row>
    <row r="128" spans="1:9" ht="15">
      <c r="A128" s="15">
        <v>45</v>
      </c>
      <c r="B128" s="15">
        <v>1</v>
      </c>
      <c r="C128" s="15" t="s">
        <v>48</v>
      </c>
      <c r="D128" s="5">
        <v>500000</v>
      </c>
      <c r="E128" s="5">
        <v>80000</v>
      </c>
      <c r="F128" s="6">
        <f>SUM(D128:E128)</f>
        <v>580000</v>
      </c>
      <c r="G128" s="5">
        <v>700000</v>
      </c>
      <c r="H128" s="5">
        <v>100000</v>
      </c>
      <c r="I128" s="6">
        <f>SUM(G128:H128)</f>
        <v>800000</v>
      </c>
    </row>
    <row r="129" spans="1:9" ht="15">
      <c r="A129" s="224" t="s">
        <v>42</v>
      </c>
      <c r="B129" s="225"/>
      <c r="C129" s="225"/>
      <c r="D129" s="7">
        <f>D128</f>
        <v>500000</v>
      </c>
      <c r="E129" s="7">
        <f>E128</f>
        <v>80000</v>
      </c>
      <c r="F129" s="7">
        <f>SUM(D129:E129)</f>
        <v>580000</v>
      </c>
      <c r="G129" s="7">
        <f>G128</f>
        <v>700000</v>
      </c>
      <c r="H129" s="7">
        <f>H128</f>
        <v>100000</v>
      </c>
      <c r="I129" s="7">
        <f>SUM(G129:H129)</f>
        <v>800000</v>
      </c>
    </row>
    <row r="130" spans="1:9" ht="15">
      <c r="A130" s="224" t="s">
        <v>49</v>
      </c>
      <c r="B130" s="225"/>
      <c r="C130" s="225"/>
      <c r="D130" s="225"/>
      <c r="E130" s="225"/>
      <c r="F130" s="225"/>
      <c r="G130" s="225"/>
      <c r="H130" s="225"/>
      <c r="I130" s="226"/>
    </row>
    <row r="131" spans="1:9" ht="15">
      <c r="A131" s="15">
        <v>46</v>
      </c>
      <c r="B131" s="15">
        <v>1</v>
      </c>
      <c r="C131" s="19" t="s">
        <v>50</v>
      </c>
      <c r="D131" s="5">
        <v>1737019</v>
      </c>
      <c r="E131" s="5">
        <v>529800</v>
      </c>
      <c r="F131" s="6">
        <f>SUM(D131:E131)</f>
        <v>2266819</v>
      </c>
      <c r="G131" s="5">
        <v>1794818</v>
      </c>
      <c r="H131" s="5">
        <v>509150</v>
      </c>
      <c r="I131" s="6">
        <f>SUM(G131:H131)</f>
        <v>2303968</v>
      </c>
    </row>
    <row r="132" spans="1:9" ht="15">
      <c r="A132" s="224" t="s">
        <v>42</v>
      </c>
      <c r="B132" s="225"/>
      <c r="C132" s="225"/>
      <c r="D132" s="7">
        <f>D131</f>
        <v>1737019</v>
      </c>
      <c r="E132" s="7">
        <f>E131</f>
        <v>529800</v>
      </c>
      <c r="F132" s="7">
        <f>SUM(D132:E132)</f>
        <v>2266819</v>
      </c>
      <c r="G132" s="7">
        <f>G131</f>
        <v>1794818</v>
      </c>
      <c r="H132" s="7">
        <f>H131</f>
        <v>509150</v>
      </c>
      <c r="I132" s="7">
        <f>SUM(G132:H132)</f>
        <v>2303968</v>
      </c>
    </row>
    <row r="133" spans="1:9" ht="15">
      <c r="A133" s="224" t="s">
        <v>51</v>
      </c>
      <c r="B133" s="225"/>
      <c r="C133" s="225"/>
      <c r="D133" s="225"/>
      <c r="E133" s="225"/>
      <c r="F133" s="225"/>
      <c r="G133" s="225"/>
      <c r="H133" s="225"/>
      <c r="I133" s="226"/>
    </row>
    <row r="134" spans="1:9" ht="15">
      <c r="A134" s="15">
        <v>47</v>
      </c>
      <c r="B134" s="15">
        <v>1</v>
      </c>
      <c r="C134" s="19" t="s">
        <v>52</v>
      </c>
      <c r="D134" s="5">
        <v>1482800</v>
      </c>
      <c r="E134" s="5">
        <v>649500</v>
      </c>
      <c r="F134" s="6">
        <f>SUM(D134:E134)</f>
        <v>2132300</v>
      </c>
      <c r="G134" s="5">
        <v>1769000</v>
      </c>
      <c r="H134" s="5">
        <v>649500</v>
      </c>
      <c r="I134" s="6">
        <f>SUM(G134:H134)</f>
        <v>2418500</v>
      </c>
    </row>
    <row r="135" spans="1:9" ht="15">
      <c r="A135" s="15">
        <v>48</v>
      </c>
      <c r="B135" s="15">
        <v>2</v>
      </c>
      <c r="C135" s="19" t="s">
        <v>53</v>
      </c>
      <c r="D135" s="5"/>
      <c r="E135" s="5">
        <v>410000</v>
      </c>
      <c r="F135" s="6">
        <f aca="true" t="shared" si="7" ref="F135:F153">SUM(D135:E135)</f>
        <v>410000</v>
      </c>
      <c r="G135" s="5">
        <v>244000</v>
      </c>
      <c r="H135" s="5">
        <v>555000</v>
      </c>
      <c r="I135" s="6">
        <f aca="true" t="shared" si="8" ref="I135:I143">SUM(G135:H135)</f>
        <v>799000</v>
      </c>
    </row>
    <row r="136" spans="1:9" ht="15">
      <c r="A136" s="15">
        <v>49</v>
      </c>
      <c r="B136" s="15">
        <v>3</v>
      </c>
      <c r="C136" s="20" t="s">
        <v>54</v>
      </c>
      <c r="D136" s="5">
        <v>1643000</v>
      </c>
      <c r="E136" s="5"/>
      <c r="F136" s="6">
        <f t="shared" si="7"/>
        <v>1643000</v>
      </c>
      <c r="G136" s="5"/>
      <c r="H136" s="5"/>
      <c r="I136" s="6">
        <f t="shared" si="8"/>
        <v>0</v>
      </c>
    </row>
    <row r="137" spans="1:9" ht="15">
      <c r="A137" s="15">
        <v>50</v>
      </c>
      <c r="B137" s="21">
        <v>4</v>
      </c>
      <c r="C137" s="20" t="s">
        <v>55</v>
      </c>
      <c r="D137" s="5"/>
      <c r="E137" s="5"/>
      <c r="F137" s="6">
        <f t="shared" si="7"/>
        <v>0</v>
      </c>
      <c r="G137" s="5"/>
      <c r="H137" s="5"/>
      <c r="I137" s="6">
        <f t="shared" si="8"/>
        <v>0</v>
      </c>
    </row>
    <row r="138" spans="1:9" ht="15">
      <c r="A138" s="15">
        <v>51</v>
      </c>
      <c r="B138" s="15">
        <v>5</v>
      </c>
      <c r="C138" s="20" t="s">
        <v>56</v>
      </c>
      <c r="D138" s="5">
        <v>505700</v>
      </c>
      <c r="E138" s="5">
        <v>136000</v>
      </c>
      <c r="F138" s="6">
        <f t="shared" si="7"/>
        <v>641700</v>
      </c>
      <c r="G138" s="5">
        <v>505700</v>
      </c>
      <c r="H138" s="5">
        <v>157000</v>
      </c>
      <c r="I138" s="6">
        <f t="shared" si="8"/>
        <v>662700</v>
      </c>
    </row>
    <row r="139" spans="1:9" ht="15">
      <c r="A139" s="15">
        <v>52</v>
      </c>
      <c r="B139" s="15">
        <v>6</v>
      </c>
      <c r="C139" s="20" t="s">
        <v>57</v>
      </c>
      <c r="D139" s="5"/>
      <c r="E139" s="5"/>
      <c r="F139" s="6">
        <f t="shared" si="7"/>
        <v>0</v>
      </c>
      <c r="G139" s="5"/>
      <c r="H139" s="5"/>
      <c r="I139" s="6">
        <f t="shared" si="8"/>
        <v>0</v>
      </c>
    </row>
    <row r="140" spans="1:9" ht="15">
      <c r="A140" s="15">
        <v>53</v>
      </c>
      <c r="B140" s="15">
        <v>7</v>
      </c>
      <c r="C140" s="20" t="s">
        <v>58</v>
      </c>
      <c r="D140" s="5">
        <v>727000</v>
      </c>
      <c r="E140" s="5">
        <v>150000</v>
      </c>
      <c r="F140" s="6">
        <f t="shared" si="7"/>
        <v>877000</v>
      </c>
      <c r="G140" s="5">
        <v>506000</v>
      </c>
      <c r="H140" s="5">
        <v>150000</v>
      </c>
      <c r="I140" s="6">
        <f t="shared" si="8"/>
        <v>656000</v>
      </c>
    </row>
    <row r="141" spans="1:9" ht="15">
      <c r="A141" s="15">
        <v>54</v>
      </c>
      <c r="B141" s="15">
        <v>8</v>
      </c>
      <c r="C141" s="19" t="s">
        <v>59</v>
      </c>
      <c r="D141" s="5">
        <v>615000</v>
      </c>
      <c r="E141" s="5">
        <v>100000</v>
      </c>
      <c r="F141" s="6">
        <f t="shared" si="7"/>
        <v>715000</v>
      </c>
      <c r="G141" s="5">
        <v>750000</v>
      </c>
      <c r="H141" s="5">
        <v>100000</v>
      </c>
      <c r="I141" s="6">
        <f t="shared" si="8"/>
        <v>850000</v>
      </c>
    </row>
    <row r="142" spans="1:9" ht="15">
      <c r="A142" s="15">
        <v>55</v>
      </c>
      <c r="B142" s="15">
        <v>9</v>
      </c>
      <c r="C142" s="19" t="s">
        <v>60</v>
      </c>
      <c r="D142" s="5">
        <v>554000</v>
      </c>
      <c r="E142" s="5">
        <v>200000</v>
      </c>
      <c r="F142" s="6">
        <f t="shared" si="7"/>
        <v>754000</v>
      </c>
      <c r="G142" s="5">
        <v>469500</v>
      </c>
      <c r="H142" s="5">
        <v>190000</v>
      </c>
      <c r="I142" s="6">
        <f t="shared" si="8"/>
        <v>659500</v>
      </c>
    </row>
    <row r="143" spans="1:9" ht="15">
      <c r="A143" s="15">
        <v>56</v>
      </c>
      <c r="B143" s="15">
        <v>10</v>
      </c>
      <c r="C143" s="19" t="s">
        <v>61</v>
      </c>
      <c r="D143" s="5"/>
      <c r="E143" s="5">
        <v>578335</v>
      </c>
      <c r="F143" s="6">
        <f t="shared" si="7"/>
        <v>578335</v>
      </c>
      <c r="G143" s="5">
        <v>180000</v>
      </c>
      <c r="H143" s="5">
        <v>320200</v>
      </c>
      <c r="I143" s="6">
        <f t="shared" si="8"/>
        <v>500200</v>
      </c>
    </row>
    <row r="144" spans="1:9" ht="15">
      <c r="A144" s="15">
        <v>57</v>
      </c>
      <c r="B144" s="15">
        <v>11</v>
      </c>
      <c r="C144" s="19" t="s">
        <v>62</v>
      </c>
      <c r="D144" s="5"/>
      <c r="F144" s="6">
        <f>SUM(D144:E144)</f>
        <v>0</v>
      </c>
      <c r="G144" s="5">
        <v>1122000</v>
      </c>
      <c r="I144" s="6">
        <f>SUM(G144:H144)</f>
        <v>1122000</v>
      </c>
    </row>
    <row r="145" spans="1:9" ht="15">
      <c r="A145" s="15">
        <v>58</v>
      </c>
      <c r="B145" s="15">
        <v>12</v>
      </c>
      <c r="C145" s="19" t="s">
        <v>63</v>
      </c>
      <c r="D145" s="5">
        <v>1647600</v>
      </c>
      <c r="E145" s="5"/>
      <c r="F145" s="6">
        <f t="shared" si="7"/>
        <v>1647600</v>
      </c>
      <c r="G145" s="5"/>
      <c r="H145" s="5"/>
      <c r="I145" s="6">
        <f>SUM(G145:H145)</f>
        <v>0</v>
      </c>
    </row>
    <row r="146" spans="1:9" ht="15">
      <c r="A146" s="15">
        <v>59</v>
      </c>
      <c r="B146" s="15">
        <v>13</v>
      </c>
      <c r="C146" s="19" t="s">
        <v>64</v>
      </c>
      <c r="D146" s="5">
        <v>1345000</v>
      </c>
      <c r="E146" s="5">
        <v>200000</v>
      </c>
      <c r="F146" s="6">
        <f t="shared" si="7"/>
        <v>1545000</v>
      </c>
      <c r="G146" s="5">
        <v>613500</v>
      </c>
      <c r="H146" s="5"/>
      <c r="I146" s="6">
        <f>SUM(G146:H146)</f>
        <v>613500</v>
      </c>
    </row>
    <row r="147" spans="1:9" ht="15">
      <c r="A147" s="15">
        <v>60</v>
      </c>
      <c r="B147" s="15">
        <v>14</v>
      </c>
      <c r="C147" s="19" t="s">
        <v>65</v>
      </c>
      <c r="D147" s="5">
        <v>229000</v>
      </c>
      <c r="E147" s="5">
        <v>140000</v>
      </c>
      <c r="F147" s="6">
        <f>SUM(D147:E147)</f>
        <v>369000</v>
      </c>
      <c r="G147" s="5">
        <v>229000</v>
      </c>
      <c r="H147" s="5">
        <v>140000</v>
      </c>
      <c r="I147" s="6">
        <f>SUM(G147:H147)</f>
        <v>369000</v>
      </c>
    </row>
    <row r="148" spans="1:9" ht="15">
      <c r="A148" s="15">
        <v>61</v>
      </c>
      <c r="B148" s="15">
        <v>15</v>
      </c>
      <c r="C148" s="78" t="s">
        <v>66</v>
      </c>
      <c r="D148" s="5">
        <v>1250000</v>
      </c>
      <c r="E148" s="5">
        <v>250000</v>
      </c>
      <c r="F148" s="6">
        <f t="shared" si="7"/>
        <v>1500000</v>
      </c>
      <c r="G148" s="5"/>
      <c r="H148" s="5"/>
      <c r="I148" s="6">
        <f aca="true" t="shared" si="9" ref="I148:I153">SUM(G148:H148)</f>
        <v>0</v>
      </c>
    </row>
    <row r="149" spans="1:9" ht="15">
      <c r="A149" s="15">
        <v>62</v>
      </c>
      <c r="B149" s="15">
        <v>16</v>
      </c>
      <c r="C149" s="19" t="s">
        <v>67</v>
      </c>
      <c r="D149" s="5"/>
      <c r="E149" s="5"/>
      <c r="F149" s="6">
        <f t="shared" si="7"/>
        <v>0</v>
      </c>
      <c r="G149" s="5"/>
      <c r="H149" s="5"/>
      <c r="I149" s="6">
        <f t="shared" si="9"/>
        <v>0</v>
      </c>
    </row>
    <row r="150" spans="1:9" ht="15">
      <c r="A150" s="15">
        <v>63</v>
      </c>
      <c r="B150" s="15">
        <v>17</v>
      </c>
      <c r="C150" s="19" t="s">
        <v>68</v>
      </c>
      <c r="D150" s="5">
        <v>1424960</v>
      </c>
      <c r="E150" s="5"/>
      <c r="F150" s="6">
        <f t="shared" si="7"/>
        <v>1424960</v>
      </c>
      <c r="G150" s="5"/>
      <c r="H150" s="5"/>
      <c r="I150" s="6">
        <f t="shared" si="9"/>
        <v>0</v>
      </c>
    </row>
    <row r="151" spans="1:9" ht="15">
      <c r="A151" s="15">
        <v>64</v>
      </c>
      <c r="B151" s="15">
        <v>18</v>
      </c>
      <c r="C151" s="19" t="s">
        <v>69</v>
      </c>
      <c r="D151" s="5">
        <v>1027000</v>
      </c>
      <c r="E151" s="5">
        <v>120000</v>
      </c>
      <c r="F151" s="6">
        <f t="shared" si="7"/>
        <v>1147000</v>
      </c>
      <c r="G151" s="5">
        <v>487719</v>
      </c>
      <c r="H151" s="5">
        <v>170000</v>
      </c>
      <c r="I151" s="6">
        <f t="shared" si="9"/>
        <v>657719</v>
      </c>
    </row>
    <row r="152" spans="1:9" ht="15">
      <c r="A152" s="15">
        <v>65</v>
      </c>
      <c r="B152" s="15">
        <v>19</v>
      </c>
      <c r="C152" s="19" t="s">
        <v>70</v>
      </c>
      <c r="D152" s="5"/>
      <c r="E152" s="5"/>
      <c r="F152" s="6">
        <f t="shared" si="7"/>
        <v>0</v>
      </c>
      <c r="G152" s="5"/>
      <c r="H152" s="5">
        <v>1027786</v>
      </c>
      <c r="I152" s="6">
        <f t="shared" si="9"/>
        <v>1027786</v>
      </c>
    </row>
    <row r="153" spans="1:9" ht="15">
      <c r="A153" s="15">
        <v>66</v>
      </c>
      <c r="B153" s="15">
        <v>20</v>
      </c>
      <c r="C153" s="19" t="s">
        <v>71</v>
      </c>
      <c r="D153" s="5"/>
      <c r="E153" s="5"/>
      <c r="F153" s="6">
        <f t="shared" si="7"/>
        <v>0</v>
      </c>
      <c r="G153" s="5">
        <f>743318+743318+739873</f>
        <v>2226509</v>
      </c>
      <c r="H153" s="5">
        <f>180000+180000+190000</f>
        <v>550000</v>
      </c>
      <c r="I153" s="6">
        <f t="shared" si="9"/>
        <v>2776509</v>
      </c>
    </row>
    <row r="154" spans="1:9" ht="15">
      <c r="A154" s="224" t="s">
        <v>5</v>
      </c>
      <c r="B154" s="225"/>
      <c r="C154" s="225"/>
      <c r="D154" s="7">
        <f>SUM(D134:D153)</f>
        <v>12451060</v>
      </c>
      <c r="E154" s="7">
        <f>SUM(E134:E153)</f>
        <v>2933835</v>
      </c>
      <c r="F154" s="7">
        <f>SUM(D154:E154)</f>
        <v>15384895</v>
      </c>
      <c r="G154" s="7">
        <f>SUM(G134:G153)</f>
        <v>9102928</v>
      </c>
      <c r="H154" s="7">
        <f>SUM(H134:H153)</f>
        <v>4009486</v>
      </c>
      <c r="I154" s="7">
        <f>SUM(G154:H154)</f>
        <v>13112414</v>
      </c>
    </row>
    <row r="155" spans="1:9" ht="15">
      <c r="A155" s="234" t="s">
        <v>72</v>
      </c>
      <c r="B155" s="235"/>
      <c r="C155" s="235"/>
      <c r="D155" s="235"/>
      <c r="E155" s="235"/>
      <c r="F155" s="235"/>
      <c r="G155" s="235"/>
      <c r="H155" s="235"/>
      <c r="I155" s="236"/>
    </row>
    <row r="156" spans="1:9" ht="15">
      <c r="A156" s="15">
        <v>67</v>
      </c>
      <c r="B156" s="15">
        <v>1</v>
      </c>
      <c r="C156" s="20" t="s">
        <v>73</v>
      </c>
      <c r="D156" s="5">
        <v>1501595</v>
      </c>
      <c r="E156" s="5">
        <v>882800</v>
      </c>
      <c r="F156" s="6">
        <f>SUM(D156:E156)</f>
        <v>2384395</v>
      </c>
      <c r="G156" s="5">
        <v>1424040</v>
      </c>
      <c r="H156" s="5">
        <v>882200</v>
      </c>
      <c r="I156" s="6">
        <f>SUM(G156:H156)</f>
        <v>2306240</v>
      </c>
    </row>
    <row r="157" spans="1:9" ht="15">
      <c r="A157" s="15">
        <v>68</v>
      </c>
      <c r="B157" s="15">
        <v>2</v>
      </c>
      <c r="C157" s="20" t="s">
        <v>74</v>
      </c>
      <c r="D157" s="5">
        <v>258500</v>
      </c>
      <c r="E157" s="5">
        <v>260000</v>
      </c>
      <c r="F157" s="6">
        <f>SUM(D157:E157)</f>
        <v>518500</v>
      </c>
      <c r="G157" s="5">
        <v>348500</v>
      </c>
      <c r="H157" s="5">
        <v>259000</v>
      </c>
      <c r="I157" s="6">
        <f>SUM(G157:H157)</f>
        <v>607500</v>
      </c>
    </row>
    <row r="158" spans="1:9" ht="15">
      <c r="A158" s="15">
        <v>69</v>
      </c>
      <c r="B158" s="15">
        <v>3</v>
      </c>
      <c r="C158" s="20" t="s">
        <v>75</v>
      </c>
      <c r="D158" s="5">
        <v>1353200</v>
      </c>
      <c r="E158" s="5">
        <v>1247500</v>
      </c>
      <c r="F158" s="6">
        <f aca="true" t="shared" si="10" ref="F158:F175">SUM(D158:E158)</f>
        <v>2600700</v>
      </c>
      <c r="G158" s="5">
        <v>1353200</v>
      </c>
      <c r="H158" s="5">
        <v>1247500</v>
      </c>
      <c r="I158" s="6">
        <f aca="true" t="shared" si="11" ref="I158:I175">SUM(G158:H158)</f>
        <v>2600700</v>
      </c>
    </row>
    <row r="159" spans="1:9" ht="15">
      <c r="A159" s="15">
        <v>70</v>
      </c>
      <c r="B159" s="15">
        <v>4</v>
      </c>
      <c r="C159" s="20" t="s">
        <v>76</v>
      </c>
      <c r="D159" s="5">
        <v>300000</v>
      </c>
      <c r="E159" s="5"/>
      <c r="F159" s="6">
        <f t="shared" si="10"/>
        <v>300000</v>
      </c>
      <c r="G159" s="5"/>
      <c r="H159" s="5">
        <v>300000</v>
      </c>
      <c r="I159" s="6">
        <f t="shared" si="11"/>
        <v>300000</v>
      </c>
    </row>
    <row r="160" spans="1:9" ht="15">
      <c r="A160" s="15">
        <v>71</v>
      </c>
      <c r="B160" s="15">
        <v>5</v>
      </c>
      <c r="C160" s="22" t="s">
        <v>77</v>
      </c>
      <c r="D160" s="5">
        <v>1026000</v>
      </c>
      <c r="E160" s="5">
        <v>300000</v>
      </c>
      <c r="F160" s="6">
        <f t="shared" si="10"/>
        <v>1326000</v>
      </c>
      <c r="G160" s="5"/>
      <c r="H160" s="5"/>
      <c r="I160" s="6">
        <f t="shared" si="11"/>
        <v>0</v>
      </c>
    </row>
    <row r="161" spans="1:9" ht="15">
      <c r="A161" s="15">
        <v>72</v>
      </c>
      <c r="B161" s="15">
        <v>6</v>
      </c>
      <c r="C161" s="20" t="s">
        <v>78</v>
      </c>
      <c r="D161" s="5">
        <v>794000</v>
      </c>
      <c r="E161" s="5">
        <v>1419500</v>
      </c>
      <c r="F161" s="6">
        <f t="shared" si="10"/>
        <v>2213500</v>
      </c>
      <c r="G161" s="5">
        <v>794000</v>
      </c>
      <c r="H161" s="5">
        <v>1419500</v>
      </c>
      <c r="I161" s="6">
        <f t="shared" si="11"/>
        <v>2213500</v>
      </c>
    </row>
    <row r="162" spans="1:9" ht="15">
      <c r="A162" s="15">
        <v>73</v>
      </c>
      <c r="B162" s="15">
        <v>7</v>
      </c>
      <c r="C162" s="20" t="s">
        <v>79</v>
      </c>
      <c r="D162" s="5">
        <v>337000</v>
      </c>
      <c r="E162" s="5">
        <v>450000</v>
      </c>
      <c r="F162" s="6">
        <f t="shared" si="10"/>
        <v>787000</v>
      </c>
      <c r="G162" s="5">
        <v>337000</v>
      </c>
      <c r="H162" s="5">
        <v>450000</v>
      </c>
      <c r="I162" s="6">
        <f t="shared" si="11"/>
        <v>787000</v>
      </c>
    </row>
    <row r="163" spans="1:9" ht="15">
      <c r="A163" s="15">
        <v>74</v>
      </c>
      <c r="B163" s="15">
        <v>8</v>
      </c>
      <c r="C163" s="20" t="s">
        <v>80</v>
      </c>
      <c r="D163" s="5">
        <v>529700</v>
      </c>
      <c r="E163" s="5">
        <v>939000</v>
      </c>
      <c r="F163" s="6">
        <f t="shared" si="10"/>
        <v>1468700</v>
      </c>
      <c r="G163" s="5">
        <v>525700</v>
      </c>
      <c r="H163" s="5">
        <v>939000</v>
      </c>
      <c r="I163" s="6">
        <f t="shared" si="11"/>
        <v>1464700</v>
      </c>
    </row>
    <row r="164" spans="1:9" ht="15">
      <c r="A164" s="15">
        <v>75</v>
      </c>
      <c r="B164" s="15">
        <v>9</v>
      </c>
      <c r="C164" s="20" t="s">
        <v>81</v>
      </c>
      <c r="D164" s="5">
        <v>320000</v>
      </c>
      <c r="E164" s="5">
        <v>480000</v>
      </c>
      <c r="F164" s="6">
        <f t="shared" si="10"/>
        <v>800000</v>
      </c>
      <c r="G164" s="5">
        <v>317500</v>
      </c>
      <c r="H164" s="5">
        <v>475000</v>
      </c>
      <c r="I164" s="6">
        <f t="shared" si="11"/>
        <v>792500</v>
      </c>
    </row>
    <row r="165" spans="1:9" ht="15">
      <c r="A165" s="15">
        <v>76</v>
      </c>
      <c r="B165" s="15">
        <v>10</v>
      </c>
      <c r="C165" s="20" t="s">
        <v>82</v>
      </c>
      <c r="D165" s="5">
        <v>357000</v>
      </c>
      <c r="E165" s="5">
        <v>74100</v>
      </c>
      <c r="F165" s="6">
        <f t="shared" si="10"/>
        <v>431100</v>
      </c>
      <c r="G165" s="5">
        <v>357100</v>
      </c>
      <c r="H165" s="5">
        <v>72000</v>
      </c>
      <c r="I165" s="6">
        <f t="shared" si="11"/>
        <v>429100</v>
      </c>
    </row>
    <row r="166" spans="1:9" ht="15">
      <c r="A166" s="15">
        <v>77</v>
      </c>
      <c r="B166" s="15">
        <v>11</v>
      </c>
      <c r="C166" s="20" t="s">
        <v>83</v>
      </c>
      <c r="D166" s="5">
        <v>600000</v>
      </c>
      <c r="E166" s="5">
        <v>200000</v>
      </c>
      <c r="F166" s="6">
        <f t="shared" si="10"/>
        <v>800000</v>
      </c>
      <c r="G166" s="5">
        <v>600000</v>
      </c>
      <c r="H166" s="5">
        <v>200000</v>
      </c>
      <c r="I166" s="6">
        <f t="shared" si="11"/>
        <v>800000</v>
      </c>
    </row>
    <row r="167" spans="1:9" ht="15">
      <c r="A167" s="15">
        <v>78</v>
      </c>
      <c r="B167" s="15">
        <v>12</v>
      </c>
      <c r="C167" s="20" t="s">
        <v>84</v>
      </c>
      <c r="D167" s="5">
        <v>185000</v>
      </c>
      <c r="E167" s="5">
        <v>809000</v>
      </c>
      <c r="F167" s="6">
        <f t="shared" si="10"/>
        <v>994000</v>
      </c>
      <c r="G167" s="5">
        <v>185000</v>
      </c>
      <c r="H167" s="5">
        <v>800000</v>
      </c>
      <c r="I167" s="6">
        <f t="shared" si="11"/>
        <v>985000</v>
      </c>
    </row>
    <row r="168" spans="1:9" ht="15">
      <c r="A168" s="15">
        <v>79</v>
      </c>
      <c r="B168" s="15">
        <v>13</v>
      </c>
      <c r="C168" s="20" t="s">
        <v>85</v>
      </c>
      <c r="D168" s="18"/>
      <c r="E168" s="18">
        <v>500000</v>
      </c>
      <c r="F168" s="6">
        <f t="shared" si="10"/>
        <v>500000</v>
      </c>
      <c r="G168" s="18"/>
      <c r="H168" s="18">
        <v>500000</v>
      </c>
      <c r="I168" s="6">
        <f t="shared" si="11"/>
        <v>500000</v>
      </c>
    </row>
    <row r="169" spans="1:9" ht="15">
      <c r="A169" s="15">
        <v>80</v>
      </c>
      <c r="B169" s="15">
        <v>14</v>
      </c>
      <c r="C169" s="22" t="s">
        <v>86</v>
      </c>
      <c r="D169" s="5"/>
      <c r="E169" s="5"/>
      <c r="F169" s="6">
        <f t="shared" si="10"/>
        <v>0</v>
      </c>
      <c r="G169" s="5"/>
      <c r="H169" s="5">
        <f>1090000*3</f>
        <v>3270000</v>
      </c>
      <c r="I169" s="6">
        <f t="shared" si="11"/>
        <v>3270000</v>
      </c>
    </row>
    <row r="170" spans="1:9" ht="15">
      <c r="A170" s="15">
        <v>81</v>
      </c>
      <c r="B170" s="15">
        <v>15</v>
      </c>
      <c r="C170" s="20" t="s">
        <v>87</v>
      </c>
      <c r="D170" s="5"/>
      <c r="E170" s="5">
        <v>1036000</v>
      </c>
      <c r="F170" s="6">
        <f t="shared" si="10"/>
        <v>1036000</v>
      </c>
      <c r="G170" s="5"/>
      <c r="H170" s="5">
        <v>1036000</v>
      </c>
      <c r="I170" s="6">
        <f t="shared" si="11"/>
        <v>1036000</v>
      </c>
    </row>
    <row r="171" spans="1:9" ht="15">
      <c r="A171" s="15">
        <v>82</v>
      </c>
      <c r="B171" s="15">
        <v>16</v>
      </c>
      <c r="C171" s="20" t="s">
        <v>88</v>
      </c>
      <c r="D171" s="5">
        <v>1101000</v>
      </c>
      <c r="E171" s="5">
        <v>2259000</v>
      </c>
      <c r="F171" s="6">
        <f t="shared" si="10"/>
        <v>3360000</v>
      </c>
      <c r="G171" s="5"/>
      <c r="H171" s="5"/>
      <c r="I171" s="6">
        <f t="shared" si="11"/>
        <v>0</v>
      </c>
    </row>
    <row r="172" spans="1:9" ht="15">
      <c r="A172" s="15">
        <v>83</v>
      </c>
      <c r="B172" s="15">
        <v>17</v>
      </c>
      <c r="C172" s="20" t="s">
        <v>89</v>
      </c>
      <c r="D172" s="5"/>
      <c r="E172" s="5"/>
      <c r="F172" s="6">
        <f t="shared" si="10"/>
        <v>0</v>
      </c>
      <c r="G172" s="5"/>
      <c r="H172" s="5">
        <v>763000</v>
      </c>
      <c r="I172" s="6">
        <f t="shared" si="11"/>
        <v>763000</v>
      </c>
    </row>
    <row r="173" spans="1:9" ht="15">
      <c r="A173" s="15">
        <v>84</v>
      </c>
      <c r="B173" s="15">
        <v>18</v>
      </c>
      <c r="C173" s="19" t="s">
        <v>90</v>
      </c>
      <c r="D173" s="5">
        <v>343563</v>
      </c>
      <c r="E173" s="5">
        <v>3807543</v>
      </c>
      <c r="F173" s="6">
        <f t="shared" si="10"/>
        <v>4151106</v>
      </c>
      <c r="G173" s="5"/>
      <c r="H173" s="5"/>
      <c r="I173" s="6">
        <f t="shared" si="11"/>
        <v>0</v>
      </c>
    </row>
    <row r="174" spans="1:9" ht="15">
      <c r="A174" s="15">
        <v>85</v>
      </c>
      <c r="B174" s="15">
        <v>19</v>
      </c>
      <c r="C174" s="19" t="s">
        <v>91</v>
      </c>
      <c r="D174" s="5">
        <v>850800</v>
      </c>
      <c r="E174" s="5">
        <v>125000</v>
      </c>
      <c r="F174" s="6">
        <f t="shared" si="10"/>
        <v>975800</v>
      </c>
      <c r="G174" s="5">
        <v>850800</v>
      </c>
      <c r="H174" s="5">
        <v>125000</v>
      </c>
      <c r="I174" s="6">
        <f t="shared" si="11"/>
        <v>975800</v>
      </c>
    </row>
    <row r="175" spans="1:9" ht="15">
      <c r="A175" s="15">
        <v>86</v>
      </c>
      <c r="B175" s="15">
        <v>20</v>
      </c>
      <c r="C175" s="19" t="s">
        <v>92</v>
      </c>
      <c r="D175" s="5">
        <v>309000</v>
      </c>
      <c r="E175" s="5">
        <v>703000</v>
      </c>
      <c r="F175" s="6">
        <f t="shared" si="10"/>
        <v>1012000</v>
      </c>
      <c r="G175" s="5">
        <v>303000</v>
      </c>
      <c r="H175" s="5">
        <v>709000</v>
      </c>
      <c r="I175" s="6">
        <f t="shared" si="11"/>
        <v>1012000</v>
      </c>
    </row>
    <row r="176" spans="1:9" ht="15">
      <c r="A176" s="224" t="s">
        <v>5</v>
      </c>
      <c r="B176" s="225"/>
      <c r="C176" s="225"/>
      <c r="D176" s="7">
        <f>SUM(D156:D175)</f>
        <v>10166358</v>
      </c>
      <c r="E176" s="7">
        <f>SUM(E156:E175)</f>
        <v>15492443</v>
      </c>
      <c r="F176" s="7">
        <f>SUM(D176:E176)</f>
        <v>25658801</v>
      </c>
      <c r="G176" s="7">
        <f>SUM(G156:G175)</f>
        <v>7395840</v>
      </c>
      <c r="H176" s="7">
        <f>SUM(H156:H175)</f>
        <v>13447200</v>
      </c>
      <c r="I176" s="7">
        <f>SUM(G176:H176)</f>
        <v>20843040</v>
      </c>
    </row>
    <row r="177" spans="1:9" ht="15">
      <c r="A177" s="224" t="s">
        <v>93</v>
      </c>
      <c r="B177" s="225"/>
      <c r="C177" s="225"/>
      <c r="D177" s="225"/>
      <c r="E177" s="225"/>
      <c r="F177" s="225"/>
      <c r="G177" s="225"/>
      <c r="H177" s="225"/>
      <c r="I177" s="226"/>
    </row>
    <row r="178" spans="1:9" ht="15">
      <c r="A178" s="15">
        <v>87</v>
      </c>
      <c r="B178" s="15">
        <v>1</v>
      </c>
      <c r="C178" s="19" t="s">
        <v>94</v>
      </c>
      <c r="D178" s="5">
        <v>1401545</v>
      </c>
      <c r="E178" s="5">
        <v>105500</v>
      </c>
      <c r="F178" s="6">
        <f>SUM(D178:E178)</f>
        <v>1507045</v>
      </c>
      <c r="G178" s="5">
        <v>1401545</v>
      </c>
      <c r="H178" s="5">
        <v>102500</v>
      </c>
      <c r="I178" s="6">
        <f>SUM(G178:H178)</f>
        <v>1504045</v>
      </c>
    </row>
    <row r="179" spans="1:9" ht="15">
      <c r="A179" s="15">
        <v>88</v>
      </c>
      <c r="B179" s="15">
        <v>2</v>
      </c>
      <c r="C179" s="19" t="s">
        <v>95</v>
      </c>
      <c r="D179" s="5"/>
      <c r="E179" s="5">
        <v>25000</v>
      </c>
      <c r="F179" s="6">
        <f aca="true" t="shared" si="12" ref="F179:F200">SUM(D179:E179)</f>
        <v>25000</v>
      </c>
      <c r="G179" s="5"/>
      <c r="H179" s="5">
        <v>25000</v>
      </c>
      <c r="I179" s="6">
        <f aca="true" t="shared" si="13" ref="I179:I197">SUM(G179:H179)</f>
        <v>25000</v>
      </c>
    </row>
    <row r="180" spans="1:9" ht="15">
      <c r="A180" s="15">
        <v>89</v>
      </c>
      <c r="B180" s="15">
        <v>3</v>
      </c>
      <c r="C180" s="19" t="s">
        <v>96</v>
      </c>
      <c r="D180" s="5"/>
      <c r="E180" s="5">
        <f>240000+45000</f>
        <v>285000</v>
      </c>
      <c r="F180" s="6">
        <f t="shared" si="12"/>
        <v>285000</v>
      </c>
      <c r="G180" s="5"/>
      <c r="H180" s="5">
        <f>235000+80000+45000</f>
        <v>360000</v>
      </c>
      <c r="I180" s="6">
        <f t="shared" si="13"/>
        <v>360000</v>
      </c>
    </row>
    <row r="181" spans="1:9" ht="15">
      <c r="A181" s="15">
        <v>90</v>
      </c>
      <c r="B181" s="15">
        <v>4</v>
      </c>
      <c r="C181" s="19" t="s">
        <v>97</v>
      </c>
      <c r="D181" s="5">
        <v>350000</v>
      </c>
      <c r="E181" s="5">
        <v>283500</v>
      </c>
      <c r="F181" s="6">
        <f t="shared" si="12"/>
        <v>633500</v>
      </c>
      <c r="G181" s="5"/>
      <c r="H181" s="5"/>
      <c r="I181" s="6">
        <f t="shared" si="13"/>
        <v>0</v>
      </c>
    </row>
    <row r="182" spans="1:9" ht="15">
      <c r="A182" s="15">
        <v>91</v>
      </c>
      <c r="B182" s="15">
        <v>5</v>
      </c>
      <c r="C182" s="19" t="s">
        <v>98</v>
      </c>
      <c r="D182" s="5"/>
      <c r="E182" s="5"/>
      <c r="F182" s="6">
        <f t="shared" si="12"/>
        <v>0</v>
      </c>
      <c r="G182" s="5"/>
      <c r="H182" s="5"/>
      <c r="I182" s="6">
        <f t="shared" si="13"/>
        <v>0</v>
      </c>
    </row>
    <row r="183" spans="1:9" ht="15">
      <c r="A183" s="15">
        <v>92</v>
      </c>
      <c r="B183" s="15">
        <v>6</v>
      </c>
      <c r="C183" s="20" t="s">
        <v>99</v>
      </c>
      <c r="D183" s="5">
        <v>20000000</v>
      </c>
      <c r="E183" s="5"/>
      <c r="F183" s="6">
        <f t="shared" si="12"/>
        <v>20000000</v>
      </c>
      <c r="G183" s="5"/>
      <c r="H183" s="5"/>
      <c r="I183" s="6">
        <f t="shared" si="13"/>
        <v>0</v>
      </c>
    </row>
    <row r="184" spans="1:9" ht="15">
      <c r="A184" s="15">
        <v>93</v>
      </c>
      <c r="B184" s="15">
        <v>7</v>
      </c>
      <c r="C184" s="19" t="s">
        <v>100</v>
      </c>
      <c r="D184" s="5"/>
      <c r="E184" s="5"/>
      <c r="F184" s="6">
        <f t="shared" si="12"/>
        <v>0</v>
      </c>
      <c r="G184" s="5"/>
      <c r="H184" s="5"/>
      <c r="I184" s="6">
        <f t="shared" si="13"/>
        <v>0</v>
      </c>
    </row>
    <row r="185" spans="1:9" ht="15">
      <c r="A185" s="15">
        <v>94</v>
      </c>
      <c r="B185" s="15">
        <v>8</v>
      </c>
      <c r="C185" s="19" t="s">
        <v>101</v>
      </c>
      <c r="D185" s="5"/>
      <c r="E185" s="5"/>
      <c r="F185" s="6">
        <f t="shared" si="12"/>
        <v>0</v>
      </c>
      <c r="G185" s="5"/>
      <c r="H185" s="5"/>
      <c r="I185" s="6">
        <f t="shared" si="13"/>
        <v>0</v>
      </c>
    </row>
    <row r="186" spans="1:9" ht="15">
      <c r="A186" s="15">
        <v>95</v>
      </c>
      <c r="B186" s="15">
        <v>9</v>
      </c>
      <c r="C186" s="19" t="s">
        <v>102</v>
      </c>
      <c r="D186" s="5"/>
      <c r="E186" s="5"/>
      <c r="F186" s="6">
        <f t="shared" si="12"/>
        <v>0</v>
      </c>
      <c r="G186" s="5"/>
      <c r="H186" s="5"/>
      <c r="I186" s="6">
        <f t="shared" si="13"/>
        <v>0</v>
      </c>
    </row>
    <row r="187" spans="1:9" ht="15">
      <c r="A187" s="15">
        <v>96</v>
      </c>
      <c r="B187" s="15">
        <v>10</v>
      </c>
      <c r="C187" s="19" t="s">
        <v>103</v>
      </c>
      <c r="D187" s="5">
        <v>43500</v>
      </c>
      <c r="E187" s="5">
        <v>1500</v>
      </c>
      <c r="F187" s="6">
        <f t="shared" si="12"/>
        <v>45000</v>
      </c>
      <c r="G187" s="5">
        <v>93500</v>
      </c>
      <c r="H187" s="5">
        <v>1500</v>
      </c>
      <c r="I187" s="6">
        <f t="shared" si="13"/>
        <v>95000</v>
      </c>
    </row>
    <row r="188" spans="1:9" ht="15">
      <c r="A188" s="15">
        <v>97</v>
      </c>
      <c r="B188" s="15">
        <v>11</v>
      </c>
      <c r="C188" s="19" t="s">
        <v>104</v>
      </c>
      <c r="D188" s="5"/>
      <c r="E188" s="5"/>
      <c r="F188" s="6">
        <f t="shared" si="12"/>
        <v>0</v>
      </c>
      <c r="G188" s="5">
        <f>5604443+5366179</f>
        <v>10970622</v>
      </c>
      <c r="H188" s="5"/>
      <c r="I188" s="6">
        <f t="shared" si="13"/>
        <v>10970622</v>
      </c>
    </row>
    <row r="189" spans="1:9" ht="15">
      <c r="A189" s="15">
        <v>98</v>
      </c>
      <c r="B189" s="15">
        <v>12</v>
      </c>
      <c r="C189" s="19" t="s">
        <v>105</v>
      </c>
      <c r="D189" s="5"/>
      <c r="E189" s="5"/>
      <c r="F189" s="6">
        <f t="shared" si="12"/>
        <v>0</v>
      </c>
      <c r="G189" s="5"/>
      <c r="H189" s="5"/>
      <c r="I189" s="6">
        <f t="shared" si="13"/>
        <v>0</v>
      </c>
    </row>
    <row r="190" spans="1:9" ht="15">
      <c r="A190" s="15">
        <v>99</v>
      </c>
      <c r="B190" s="15">
        <v>13</v>
      </c>
      <c r="C190" s="19" t="s">
        <v>106</v>
      </c>
      <c r="D190" s="5"/>
      <c r="E190" s="5">
        <f>84000+84000</f>
        <v>168000</v>
      </c>
      <c r="F190" s="6">
        <f t="shared" si="12"/>
        <v>168000</v>
      </c>
      <c r="G190" s="5"/>
      <c r="H190" s="5"/>
      <c r="I190" s="6">
        <f t="shared" si="13"/>
        <v>0</v>
      </c>
    </row>
    <row r="191" spans="1:9" ht="15">
      <c r="A191" s="15">
        <v>100</v>
      </c>
      <c r="B191" s="15">
        <v>14</v>
      </c>
      <c r="C191" s="19" t="s">
        <v>251</v>
      </c>
      <c r="D191" s="5"/>
      <c r="E191" s="5"/>
      <c r="F191" s="6">
        <f t="shared" si="12"/>
        <v>0</v>
      </c>
      <c r="G191" s="5"/>
      <c r="H191" s="5">
        <v>134000</v>
      </c>
      <c r="I191" s="6">
        <f t="shared" si="13"/>
        <v>134000</v>
      </c>
    </row>
    <row r="192" spans="1:9" ht="15">
      <c r="A192" s="15">
        <v>101</v>
      </c>
      <c r="B192" s="15">
        <v>15</v>
      </c>
      <c r="C192" s="19" t="s">
        <v>108</v>
      </c>
      <c r="D192" s="5">
        <v>463000</v>
      </c>
      <c r="E192" s="5">
        <v>445000</v>
      </c>
      <c r="F192" s="6">
        <f t="shared" si="12"/>
        <v>908000</v>
      </c>
      <c r="G192" s="5">
        <v>468000</v>
      </c>
      <c r="H192" s="5">
        <v>430000</v>
      </c>
      <c r="I192" s="6">
        <f t="shared" si="13"/>
        <v>898000</v>
      </c>
    </row>
    <row r="193" spans="1:9" ht="15">
      <c r="A193" s="15">
        <v>102</v>
      </c>
      <c r="B193" s="15">
        <v>16</v>
      </c>
      <c r="C193" s="19" t="s">
        <v>109</v>
      </c>
      <c r="D193" s="5">
        <v>997100</v>
      </c>
      <c r="E193" s="5">
        <f>401000+340000</f>
        <v>741000</v>
      </c>
      <c r="F193" s="6">
        <f t="shared" si="12"/>
        <v>1738100</v>
      </c>
      <c r="G193" s="5">
        <v>894000</v>
      </c>
      <c r="H193" s="5">
        <f>406000+325000</f>
        <v>731000</v>
      </c>
      <c r="I193" s="6">
        <f t="shared" si="13"/>
        <v>1625000</v>
      </c>
    </row>
    <row r="194" spans="1:9" ht="15">
      <c r="A194" s="15">
        <v>103</v>
      </c>
      <c r="B194" s="15">
        <v>17</v>
      </c>
      <c r="C194" s="19" t="s">
        <v>110</v>
      </c>
      <c r="D194" s="5"/>
      <c r="E194" s="5"/>
      <c r="F194" s="6">
        <f t="shared" si="12"/>
        <v>0</v>
      </c>
      <c r="G194" s="5"/>
      <c r="H194" s="5"/>
      <c r="I194" s="6">
        <f t="shared" si="13"/>
        <v>0</v>
      </c>
    </row>
    <row r="195" spans="1:9" ht="15">
      <c r="A195" s="15">
        <v>104</v>
      </c>
      <c r="B195" s="15">
        <v>18</v>
      </c>
      <c r="C195" s="19" t="s">
        <v>111</v>
      </c>
      <c r="D195" s="5"/>
      <c r="E195" s="5"/>
      <c r="F195" s="6">
        <f t="shared" si="12"/>
        <v>0</v>
      </c>
      <c r="G195" s="5"/>
      <c r="H195" s="5"/>
      <c r="I195" s="6">
        <f t="shared" si="13"/>
        <v>0</v>
      </c>
    </row>
    <row r="196" spans="1:9" ht="15">
      <c r="A196" s="15">
        <v>105</v>
      </c>
      <c r="B196" s="15">
        <v>19</v>
      </c>
      <c r="C196" s="19" t="s">
        <v>112</v>
      </c>
      <c r="D196" s="5"/>
      <c r="E196" s="5"/>
      <c r="F196" s="6">
        <f t="shared" si="12"/>
        <v>0</v>
      </c>
      <c r="G196" s="5"/>
      <c r="H196" s="5"/>
      <c r="I196" s="6">
        <f t="shared" si="13"/>
        <v>0</v>
      </c>
    </row>
    <row r="197" spans="1:9" ht="15">
      <c r="A197" s="15">
        <v>106</v>
      </c>
      <c r="B197" s="15">
        <v>20</v>
      </c>
      <c r="C197" s="19" t="s">
        <v>113</v>
      </c>
      <c r="D197" s="5"/>
      <c r="E197" s="5"/>
      <c r="F197" s="6">
        <f t="shared" si="12"/>
        <v>0</v>
      </c>
      <c r="G197" s="5"/>
      <c r="H197" s="5"/>
      <c r="I197" s="6">
        <f t="shared" si="13"/>
        <v>0</v>
      </c>
    </row>
    <row r="198" spans="1:9" ht="15">
      <c r="A198" s="15">
        <v>107</v>
      </c>
      <c r="B198" s="15">
        <v>21</v>
      </c>
      <c r="C198" s="19" t="s">
        <v>114</v>
      </c>
      <c r="D198" s="5"/>
      <c r="E198" s="5"/>
      <c r="F198" s="6">
        <f>SUM(D198:E198)</f>
        <v>0</v>
      </c>
      <c r="G198" s="5"/>
      <c r="H198" s="5"/>
      <c r="I198" s="6">
        <f>SUM(G198:H198)</f>
        <v>0</v>
      </c>
    </row>
    <row r="199" spans="1:9" ht="15">
      <c r="A199" s="15">
        <v>108</v>
      </c>
      <c r="B199" s="15">
        <v>22</v>
      </c>
      <c r="C199" s="19" t="s">
        <v>115</v>
      </c>
      <c r="D199" s="5"/>
      <c r="E199" s="5"/>
      <c r="F199" s="6">
        <f t="shared" si="12"/>
        <v>0</v>
      </c>
      <c r="G199" s="5"/>
      <c r="H199" s="5"/>
      <c r="I199" s="6">
        <f>SUM(G199:H199)</f>
        <v>0</v>
      </c>
    </row>
    <row r="200" spans="1:9" ht="15">
      <c r="A200" s="15">
        <v>109</v>
      </c>
      <c r="B200" s="15">
        <v>23</v>
      </c>
      <c r="C200" s="19" t="s">
        <v>116</v>
      </c>
      <c r="D200" s="5"/>
      <c r="E200" s="5"/>
      <c r="F200" s="6">
        <f t="shared" si="12"/>
        <v>0</v>
      </c>
      <c r="G200" s="5"/>
      <c r="H200" s="5"/>
      <c r="I200" s="6">
        <f>SUM(G200:H200)</f>
        <v>0</v>
      </c>
    </row>
    <row r="201" spans="1:9" ht="15">
      <c r="A201" s="224" t="s">
        <v>5</v>
      </c>
      <c r="B201" s="225"/>
      <c r="C201" s="225"/>
      <c r="D201" s="7">
        <f>SUM(D178:D200)</f>
        <v>23255145</v>
      </c>
      <c r="E201" s="7">
        <f>SUM(E178:E200)</f>
        <v>2054500</v>
      </c>
      <c r="F201" s="7">
        <f>SUM(D201:E201)</f>
        <v>25309645</v>
      </c>
      <c r="G201" s="7">
        <f>SUM(G178:G200)</f>
        <v>13827667</v>
      </c>
      <c r="H201" s="7">
        <f>SUM(H178:H200)</f>
        <v>1784000</v>
      </c>
      <c r="I201" s="7">
        <f>SUM(G201:H201)</f>
        <v>15611667</v>
      </c>
    </row>
    <row r="202" spans="1:9" ht="15">
      <c r="A202" s="224" t="s">
        <v>117</v>
      </c>
      <c r="B202" s="225"/>
      <c r="C202" s="225"/>
      <c r="D202" s="225"/>
      <c r="E202" s="225"/>
      <c r="F202" s="225"/>
      <c r="G202" s="225"/>
      <c r="H202" s="225"/>
      <c r="I202" s="226"/>
    </row>
    <row r="203" spans="1:9" ht="15">
      <c r="A203" s="15">
        <v>110</v>
      </c>
      <c r="B203" s="15">
        <v>1</v>
      </c>
      <c r="C203" s="10" t="s">
        <v>118</v>
      </c>
      <c r="D203" s="5"/>
      <c r="E203" s="5">
        <v>40000</v>
      </c>
      <c r="F203" s="6">
        <f>SUM(D203:E203)</f>
        <v>40000</v>
      </c>
      <c r="G203" s="5"/>
      <c r="H203" s="5">
        <v>40000</v>
      </c>
      <c r="I203" s="6">
        <f>SUM(G203:H203)</f>
        <v>40000</v>
      </c>
    </row>
    <row r="204" spans="1:9" ht="15">
      <c r="A204" s="15">
        <v>111</v>
      </c>
      <c r="B204" s="15">
        <v>2</v>
      </c>
      <c r="C204" s="17" t="s">
        <v>119</v>
      </c>
      <c r="D204" s="5">
        <v>352027</v>
      </c>
      <c r="E204" s="5">
        <v>72200</v>
      </c>
      <c r="F204" s="6">
        <f aca="true" t="shared" si="14" ref="F204:F254">SUM(D204:E204)</f>
        <v>424227</v>
      </c>
      <c r="G204" s="5">
        <v>368889</v>
      </c>
      <c r="H204" s="5">
        <v>72200</v>
      </c>
      <c r="I204" s="6">
        <f aca="true" t="shared" si="15" ref="I204:I212">SUM(G204:H204)</f>
        <v>441089</v>
      </c>
    </row>
    <row r="205" spans="1:9" ht="15">
      <c r="A205" s="15">
        <v>112</v>
      </c>
      <c r="B205" s="15">
        <v>3</v>
      </c>
      <c r="C205" s="17" t="s">
        <v>120</v>
      </c>
      <c r="D205" s="5"/>
      <c r="E205" s="5"/>
      <c r="F205" s="6">
        <f t="shared" si="14"/>
        <v>0</v>
      </c>
      <c r="G205" s="5"/>
      <c r="H205" s="5"/>
      <c r="I205" s="6">
        <f t="shared" si="15"/>
        <v>0</v>
      </c>
    </row>
    <row r="206" spans="1:9" ht="15">
      <c r="A206" s="15">
        <v>113</v>
      </c>
      <c r="B206" s="15">
        <v>4</v>
      </c>
      <c r="C206" s="10" t="s">
        <v>121</v>
      </c>
      <c r="D206" s="5"/>
      <c r="E206" s="5"/>
      <c r="F206" s="6">
        <f t="shared" si="14"/>
        <v>0</v>
      </c>
      <c r="G206" s="5"/>
      <c r="H206" s="5"/>
      <c r="I206" s="6">
        <f t="shared" si="15"/>
        <v>0</v>
      </c>
    </row>
    <row r="207" spans="1:9" ht="15">
      <c r="A207" s="15">
        <v>114</v>
      </c>
      <c r="B207" s="15">
        <v>5</v>
      </c>
      <c r="C207" s="23" t="s">
        <v>122</v>
      </c>
      <c r="D207" s="5"/>
      <c r="E207" s="5"/>
      <c r="F207" s="6">
        <f t="shared" si="14"/>
        <v>0</v>
      </c>
      <c r="G207" s="5"/>
      <c r="H207" s="5"/>
      <c r="I207" s="6">
        <f t="shared" si="15"/>
        <v>0</v>
      </c>
    </row>
    <row r="208" spans="1:9" ht="15">
      <c r="A208" s="15">
        <v>115</v>
      </c>
      <c r="B208" s="15">
        <v>6</v>
      </c>
      <c r="C208" s="23" t="s">
        <v>123</v>
      </c>
      <c r="D208" s="5">
        <v>190100</v>
      </c>
      <c r="E208" s="5">
        <v>350000</v>
      </c>
      <c r="F208" s="6">
        <f t="shared" si="14"/>
        <v>540100</v>
      </c>
      <c r="G208" s="5">
        <v>192600</v>
      </c>
      <c r="H208" s="5">
        <v>350000</v>
      </c>
      <c r="I208" s="6">
        <f t="shared" si="15"/>
        <v>542600</v>
      </c>
    </row>
    <row r="209" spans="1:9" ht="15">
      <c r="A209" s="15">
        <v>116</v>
      </c>
      <c r="B209" s="15">
        <v>7</v>
      </c>
      <c r="C209" s="23" t="s">
        <v>124</v>
      </c>
      <c r="D209" s="5"/>
      <c r="E209" s="5"/>
      <c r="F209" s="6">
        <f t="shared" si="14"/>
        <v>0</v>
      </c>
      <c r="G209" s="5"/>
      <c r="H209" s="5"/>
      <c r="I209" s="6">
        <f t="shared" si="15"/>
        <v>0</v>
      </c>
    </row>
    <row r="210" spans="1:9" ht="15">
      <c r="A210" s="15">
        <v>117</v>
      </c>
      <c r="B210" s="15">
        <v>8</v>
      </c>
      <c r="C210" s="23" t="s">
        <v>125</v>
      </c>
      <c r="D210" s="5"/>
      <c r="E210" s="5"/>
      <c r="F210" s="6">
        <f t="shared" si="14"/>
        <v>0</v>
      </c>
      <c r="G210" s="5"/>
      <c r="H210" s="5"/>
      <c r="I210" s="6">
        <f t="shared" si="15"/>
        <v>0</v>
      </c>
    </row>
    <row r="211" spans="1:9" ht="15">
      <c r="A211" s="15">
        <v>118</v>
      </c>
      <c r="B211" s="15">
        <v>9</v>
      </c>
      <c r="C211" s="23" t="s">
        <v>126</v>
      </c>
      <c r="D211" s="5"/>
      <c r="E211" s="5"/>
      <c r="F211" s="6">
        <f t="shared" si="14"/>
        <v>0</v>
      </c>
      <c r="G211" s="5"/>
      <c r="H211" s="5"/>
      <c r="I211" s="6">
        <f t="shared" si="15"/>
        <v>0</v>
      </c>
    </row>
    <row r="212" spans="1:9" ht="15">
      <c r="A212" s="15">
        <v>119</v>
      </c>
      <c r="B212" s="15">
        <v>10</v>
      </c>
      <c r="C212" s="23" t="s">
        <v>127</v>
      </c>
      <c r="D212" s="5"/>
      <c r="E212" s="5"/>
      <c r="F212" s="6">
        <f t="shared" si="14"/>
        <v>0</v>
      </c>
      <c r="G212" s="5"/>
      <c r="H212" s="5">
        <f>317000*3+312000</f>
        <v>1263000</v>
      </c>
      <c r="I212" s="6">
        <f t="shared" si="15"/>
        <v>1263000</v>
      </c>
    </row>
    <row r="213" spans="1:9" ht="15">
      <c r="A213" s="15">
        <v>120</v>
      </c>
      <c r="B213" s="15">
        <v>11</v>
      </c>
      <c r="C213" s="23" t="s">
        <v>129</v>
      </c>
      <c r="D213" s="5"/>
      <c r="E213" s="5"/>
      <c r="F213" s="6">
        <f>SUM(D213:E213)</f>
        <v>0</v>
      </c>
      <c r="G213" s="5"/>
      <c r="H213" s="5"/>
      <c r="I213" s="6">
        <f>SUM(G213:H213)</f>
        <v>0</v>
      </c>
    </row>
    <row r="214" spans="1:9" ht="15">
      <c r="A214" s="15">
        <v>121</v>
      </c>
      <c r="B214" s="15">
        <v>12</v>
      </c>
      <c r="C214" s="24" t="s">
        <v>128</v>
      </c>
      <c r="E214" s="5">
        <v>400000</v>
      </c>
      <c r="F214" s="6">
        <f>SUM(D214:E214)</f>
        <v>400000</v>
      </c>
      <c r="G214" s="86"/>
      <c r="H214" s="5">
        <v>400000</v>
      </c>
      <c r="I214" s="6">
        <f>SUM(G214:H214)</f>
        <v>400000</v>
      </c>
    </row>
    <row r="215" spans="1:9" ht="15">
      <c r="A215" s="15">
        <v>122</v>
      </c>
      <c r="B215" s="15">
        <v>13</v>
      </c>
      <c r="C215" s="23" t="s">
        <v>130</v>
      </c>
      <c r="D215" s="5"/>
      <c r="E215" s="5"/>
      <c r="F215" s="6">
        <f t="shared" si="14"/>
        <v>0</v>
      </c>
      <c r="G215" s="5"/>
      <c r="H215" s="5"/>
      <c r="I215" s="6">
        <f aca="true" t="shared" si="16" ref="I215:I254">SUM(G215:H215)</f>
        <v>0</v>
      </c>
    </row>
    <row r="216" spans="1:9" ht="15">
      <c r="A216" s="15">
        <v>123</v>
      </c>
      <c r="B216" s="15">
        <v>14</v>
      </c>
      <c r="C216" s="23" t="s">
        <v>131</v>
      </c>
      <c r="D216" s="5"/>
      <c r="E216" s="5"/>
      <c r="F216" s="6">
        <f t="shared" si="14"/>
        <v>0</v>
      </c>
      <c r="G216" s="5"/>
      <c r="H216" s="5"/>
      <c r="I216" s="6">
        <f t="shared" si="16"/>
        <v>0</v>
      </c>
    </row>
    <row r="217" spans="1:9" ht="15">
      <c r="A217" s="15">
        <v>124</v>
      </c>
      <c r="B217" s="15">
        <v>15</v>
      </c>
      <c r="C217" s="23" t="s">
        <v>132</v>
      </c>
      <c r="D217" s="5"/>
      <c r="E217" s="5">
        <v>26000</v>
      </c>
      <c r="F217" s="6">
        <f t="shared" si="14"/>
        <v>26000</v>
      </c>
      <c r="G217" s="5"/>
      <c r="H217" s="5">
        <v>50000</v>
      </c>
      <c r="I217" s="6">
        <f t="shared" si="16"/>
        <v>50000</v>
      </c>
    </row>
    <row r="218" spans="1:9" ht="15">
      <c r="A218" s="15">
        <v>125</v>
      </c>
      <c r="B218" s="15">
        <v>16</v>
      </c>
      <c r="C218" s="23" t="s">
        <v>133</v>
      </c>
      <c r="D218" s="5"/>
      <c r="E218" s="5"/>
      <c r="F218" s="6">
        <f t="shared" si="14"/>
        <v>0</v>
      </c>
      <c r="G218" s="5"/>
      <c r="H218" s="5"/>
      <c r="I218" s="6">
        <f t="shared" si="16"/>
        <v>0</v>
      </c>
    </row>
    <row r="219" spans="1:9" ht="15">
      <c r="A219" s="15">
        <v>126</v>
      </c>
      <c r="B219" s="15">
        <v>17</v>
      </c>
      <c r="C219" s="23" t="s">
        <v>134</v>
      </c>
      <c r="D219" s="5"/>
      <c r="E219" s="5">
        <v>27000</v>
      </c>
      <c r="F219" s="6">
        <f t="shared" si="14"/>
        <v>27000</v>
      </c>
      <c r="G219" s="5"/>
      <c r="H219" s="5">
        <v>17000</v>
      </c>
      <c r="I219" s="6">
        <f t="shared" si="16"/>
        <v>17000</v>
      </c>
    </row>
    <row r="220" spans="1:9" ht="15">
      <c r="A220" s="15">
        <v>127</v>
      </c>
      <c r="B220" s="15">
        <v>18</v>
      </c>
      <c r="C220" s="23" t="s">
        <v>135</v>
      </c>
      <c r="D220" s="5"/>
      <c r="E220" s="5"/>
      <c r="F220" s="6">
        <f t="shared" si="14"/>
        <v>0</v>
      </c>
      <c r="G220" s="5"/>
      <c r="H220" s="5"/>
      <c r="I220" s="6">
        <f t="shared" si="16"/>
        <v>0</v>
      </c>
    </row>
    <row r="221" spans="1:9" ht="15">
      <c r="A221" s="15">
        <v>128</v>
      </c>
      <c r="B221" s="15">
        <v>19</v>
      </c>
      <c r="C221" s="23" t="s">
        <v>136</v>
      </c>
      <c r="D221" s="5"/>
      <c r="E221" s="5">
        <v>187000</v>
      </c>
      <c r="F221" s="6">
        <f t="shared" si="14"/>
        <v>187000</v>
      </c>
      <c r="G221" s="5"/>
      <c r="H221" s="5">
        <v>187000</v>
      </c>
      <c r="I221" s="6">
        <f t="shared" si="16"/>
        <v>187000</v>
      </c>
    </row>
    <row r="222" spans="1:9" ht="15">
      <c r="A222" s="15">
        <v>129</v>
      </c>
      <c r="B222" s="15">
        <v>20</v>
      </c>
      <c r="C222" s="23" t="s">
        <v>137</v>
      </c>
      <c r="D222" s="5"/>
      <c r="E222" s="5"/>
      <c r="F222" s="6">
        <f t="shared" si="14"/>
        <v>0</v>
      </c>
      <c r="G222" s="5"/>
      <c r="H222" s="5"/>
      <c r="I222" s="6">
        <f t="shared" si="16"/>
        <v>0</v>
      </c>
    </row>
    <row r="223" spans="1:9" ht="15">
      <c r="A223" s="15">
        <v>130</v>
      </c>
      <c r="B223" s="15">
        <v>21</v>
      </c>
      <c r="C223" s="23" t="s">
        <v>138</v>
      </c>
      <c r="D223" s="5">
        <v>91000</v>
      </c>
      <c r="E223" s="5">
        <v>145000</v>
      </c>
      <c r="F223" s="6">
        <f t="shared" si="14"/>
        <v>236000</v>
      </c>
      <c r="G223" s="5">
        <v>91000</v>
      </c>
      <c r="H223" s="5">
        <v>145000</v>
      </c>
      <c r="I223" s="6">
        <f t="shared" si="16"/>
        <v>236000</v>
      </c>
    </row>
    <row r="224" spans="1:9" ht="15">
      <c r="A224" s="15">
        <v>131</v>
      </c>
      <c r="B224" s="15">
        <v>22</v>
      </c>
      <c r="C224" s="23" t="s">
        <v>139</v>
      </c>
      <c r="D224" s="5"/>
      <c r="E224" s="5">
        <v>175000</v>
      </c>
      <c r="F224" s="6">
        <f t="shared" si="14"/>
        <v>175000</v>
      </c>
      <c r="G224" s="5"/>
      <c r="H224" s="5">
        <v>175000</v>
      </c>
      <c r="I224" s="6">
        <f t="shared" si="16"/>
        <v>175000</v>
      </c>
    </row>
    <row r="225" spans="1:9" ht="15">
      <c r="A225" s="15">
        <v>132</v>
      </c>
      <c r="B225" s="15">
        <v>23</v>
      </c>
      <c r="C225" s="23" t="s">
        <v>140</v>
      </c>
      <c r="D225" s="5"/>
      <c r="E225" s="5"/>
      <c r="F225" s="6">
        <f t="shared" si="14"/>
        <v>0</v>
      </c>
      <c r="G225" s="5"/>
      <c r="H225" s="5"/>
      <c r="I225" s="6">
        <f t="shared" si="16"/>
        <v>0</v>
      </c>
    </row>
    <row r="226" spans="1:9" ht="15">
      <c r="A226" s="15">
        <v>133</v>
      </c>
      <c r="B226" s="15">
        <v>24</v>
      </c>
      <c r="C226" s="23" t="s">
        <v>141</v>
      </c>
      <c r="D226" s="5">
        <v>154000</v>
      </c>
      <c r="E226" s="5">
        <v>670000</v>
      </c>
      <c r="F226" s="6">
        <f t="shared" si="14"/>
        <v>824000</v>
      </c>
      <c r="G226" s="5">
        <v>154000</v>
      </c>
      <c r="H226" s="5">
        <v>670000</v>
      </c>
      <c r="I226" s="6">
        <f t="shared" si="16"/>
        <v>824000</v>
      </c>
    </row>
    <row r="227" spans="1:9" ht="15">
      <c r="A227" s="15">
        <v>134</v>
      </c>
      <c r="B227" s="15">
        <v>25</v>
      </c>
      <c r="C227" s="23" t="s">
        <v>142</v>
      </c>
      <c r="D227" s="5">
        <v>354000</v>
      </c>
      <c r="E227" s="5">
        <v>160000</v>
      </c>
      <c r="F227" s="6">
        <f t="shared" si="14"/>
        <v>514000</v>
      </c>
      <c r="G227" s="5">
        <v>354000</v>
      </c>
      <c r="H227" s="5"/>
      <c r="I227" s="6">
        <f t="shared" si="16"/>
        <v>354000</v>
      </c>
    </row>
    <row r="228" spans="1:9" ht="15">
      <c r="A228" s="15">
        <v>135</v>
      </c>
      <c r="B228" s="15">
        <v>26</v>
      </c>
      <c r="C228" s="23" t="s">
        <v>143</v>
      </c>
      <c r="D228" s="5"/>
      <c r="E228" s="5"/>
      <c r="F228" s="6">
        <f t="shared" si="14"/>
        <v>0</v>
      </c>
      <c r="G228" s="5"/>
      <c r="H228" s="5"/>
      <c r="I228" s="6">
        <f t="shared" si="16"/>
        <v>0</v>
      </c>
    </row>
    <row r="229" spans="1:9" ht="15">
      <c r="A229" s="15">
        <v>136</v>
      </c>
      <c r="B229" s="15">
        <v>27</v>
      </c>
      <c r="C229" s="23" t="s">
        <v>144</v>
      </c>
      <c r="D229" s="5">
        <v>888000</v>
      </c>
      <c r="E229" s="5"/>
      <c r="F229" s="6">
        <f t="shared" si="14"/>
        <v>888000</v>
      </c>
      <c r="G229" s="5">
        <v>890000</v>
      </c>
      <c r="H229" s="5"/>
      <c r="I229" s="6">
        <f t="shared" si="16"/>
        <v>890000</v>
      </c>
    </row>
    <row r="230" spans="1:9" ht="15">
      <c r="A230" s="15">
        <v>137</v>
      </c>
      <c r="B230" s="15">
        <v>28</v>
      </c>
      <c r="C230" s="23" t="s">
        <v>145</v>
      </c>
      <c r="D230" s="5"/>
      <c r="E230" s="5"/>
      <c r="F230" s="6">
        <f t="shared" si="14"/>
        <v>0</v>
      </c>
      <c r="G230" s="5"/>
      <c r="H230" s="5"/>
      <c r="I230" s="6">
        <f t="shared" si="16"/>
        <v>0</v>
      </c>
    </row>
    <row r="231" spans="1:9" ht="15">
      <c r="A231" s="15">
        <v>138</v>
      </c>
      <c r="B231" s="15">
        <v>29</v>
      </c>
      <c r="C231" s="23" t="s">
        <v>146</v>
      </c>
      <c r="D231" s="5"/>
      <c r="E231" s="5"/>
      <c r="F231" s="6">
        <f t="shared" si="14"/>
        <v>0</v>
      </c>
      <c r="G231" s="5"/>
      <c r="H231" s="5"/>
      <c r="I231" s="6">
        <f t="shared" si="16"/>
        <v>0</v>
      </c>
    </row>
    <row r="232" spans="1:9" ht="15">
      <c r="A232" s="15">
        <v>139</v>
      </c>
      <c r="B232" s="15">
        <v>30</v>
      </c>
      <c r="C232" s="23" t="s">
        <v>147</v>
      </c>
      <c r="D232" s="5"/>
      <c r="E232" s="5"/>
      <c r="F232" s="6">
        <f t="shared" si="14"/>
        <v>0</v>
      </c>
      <c r="G232" s="5"/>
      <c r="H232" s="5"/>
      <c r="I232" s="6">
        <f t="shared" si="16"/>
        <v>0</v>
      </c>
    </row>
    <row r="233" spans="1:9" ht="15">
      <c r="A233" s="15">
        <v>140</v>
      </c>
      <c r="B233" s="15">
        <v>31</v>
      </c>
      <c r="C233" s="23" t="s">
        <v>148</v>
      </c>
      <c r="D233" s="5"/>
      <c r="E233" s="5"/>
      <c r="F233" s="6">
        <f t="shared" si="14"/>
        <v>0</v>
      </c>
      <c r="G233" s="5"/>
      <c r="H233" s="5"/>
      <c r="I233" s="6">
        <f t="shared" si="16"/>
        <v>0</v>
      </c>
    </row>
    <row r="234" spans="1:9" ht="15">
      <c r="A234" s="15">
        <v>141</v>
      </c>
      <c r="B234" s="15">
        <v>32</v>
      </c>
      <c r="C234" s="23" t="s">
        <v>149</v>
      </c>
      <c r="D234" s="5"/>
      <c r="E234" s="5">
        <v>112000</v>
      </c>
      <c r="F234" s="6">
        <f t="shared" si="14"/>
        <v>112000</v>
      </c>
      <c r="G234" s="5"/>
      <c r="H234" s="5">
        <v>112000</v>
      </c>
      <c r="I234" s="6">
        <f t="shared" si="16"/>
        <v>112000</v>
      </c>
    </row>
    <row r="235" spans="1:9" ht="15">
      <c r="A235" s="15">
        <v>142</v>
      </c>
      <c r="B235" s="15">
        <v>33</v>
      </c>
      <c r="C235" s="23" t="s">
        <v>150</v>
      </c>
      <c r="D235" s="5"/>
      <c r="E235" s="5"/>
      <c r="F235" s="6">
        <f t="shared" si="14"/>
        <v>0</v>
      </c>
      <c r="G235" s="5">
        <v>168000</v>
      </c>
      <c r="H235" s="5"/>
      <c r="I235" s="6">
        <f t="shared" si="16"/>
        <v>168000</v>
      </c>
    </row>
    <row r="236" spans="1:9" ht="15">
      <c r="A236" s="15">
        <v>143</v>
      </c>
      <c r="B236" s="15">
        <v>34</v>
      </c>
      <c r="C236" s="23" t="s">
        <v>151</v>
      </c>
      <c r="D236" s="5"/>
      <c r="E236" s="5"/>
      <c r="F236" s="6">
        <f t="shared" si="14"/>
        <v>0</v>
      </c>
      <c r="G236" s="5"/>
      <c r="H236" s="5"/>
      <c r="I236" s="6">
        <f t="shared" si="16"/>
        <v>0</v>
      </c>
    </row>
    <row r="237" spans="1:9" ht="15">
      <c r="A237" s="15">
        <v>144</v>
      </c>
      <c r="B237" s="15">
        <v>35</v>
      </c>
      <c r="C237" s="23" t="s">
        <v>152</v>
      </c>
      <c r="D237" s="5"/>
      <c r="E237" s="5"/>
      <c r="F237" s="6">
        <f t="shared" si="14"/>
        <v>0</v>
      </c>
      <c r="G237" s="5"/>
      <c r="H237" s="5"/>
      <c r="I237" s="6">
        <f t="shared" si="16"/>
        <v>0</v>
      </c>
    </row>
    <row r="238" spans="1:9" ht="15">
      <c r="A238" s="15">
        <v>145</v>
      </c>
      <c r="B238" s="15">
        <v>36</v>
      </c>
      <c r="C238" s="23" t="s">
        <v>153</v>
      </c>
      <c r="D238" s="5"/>
      <c r="E238" s="5"/>
      <c r="F238" s="6">
        <f t="shared" si="14"/>
        <v>0</v>
      </c>
      <c r="G238" s="5"/>
      <c r="H238" s="5"/>
      <c r="I238" s="6">
        <f t="shared" si="16"/>
        <v>0</v>
      </c>
    </row>
    <row r="239" spans="1:9" ht="15">
      <c r="A239" s="15">
        <v>146</v>
      </c>
      <c r="B239" s="15">
        <v>37</v>
      </c>
      <c r="C239" s="23" t="s">
        <v>154</v>
      </c>
      <c r="D239" s="5"/>
      <c r="E239" s="5"/>
      <c r="F239" s="6">
        <f t="shared" si="14"/>
        <v>0</v>
      </c>
      <c r="G239" s="5"/>
      <c r="H239" s="5"/>
      <c r="I239" s="6">
        <f t="shared" si="16"/>
        <v>0</v>
      </c>
    </row>
    <row r="240" spans="1:9" ht="15">
      <c r="A240" s="15">
        <v>147</v>
      </c>
      <c r="B240" s="15">
        <v>38</v>
      </c>
      <c r="C240" s="23" t="s">
        <v>155</v>
      </c>
      <c r="D240" s="5"/>
      <c r="E240" s="5"/>
      <c r="F240" s="6">
        <f t="shared" si="14"/>
        <v>0</v>
      </c>
      <c r="G240" s="5"/>
      <c r="H240" s="5"/>
      <c r="I240" s="6">
        <f t="shared" si="16"/>
        <v>0</v>
      </c>
    </row>
    <row r="241" spans="1:9" ht="15">
      <c r="A241" s="15">
        <v>148</v>
      </c>
      <c r="B241" s="15">
        <v>39</v>
      </c>
      <c r="C241" s="23" t="s">
        <v>156</v>
      </c>
      <c r="D241" s="5"/>
      <c r="E241" s="5">
        <v>330000</v>
      </c>
      <c r="F241" s="6">
        <f t="shared" si="14"/>
        <v>330000</v>
      </c>
      <c r="G241" s="5"/>
      <c r="H241" s="5">
        <v>330000</v>
      </c>
      <c r="I241" s="6">
        <f t="shared" si="16"/>
        <v>330000</v>
      </c>
    </row>
    <row r="242" spans="1:9" ht="15">
      <c r="A242" s="15">
        <v>149</v>
      </c>
      <c r="B242" s="15">
        <v>40</v>
      </c>
      <c r="C242" s="23" t="s">
        <v>157</v>
      </c>
      <c r="D242" s="5"/>
      <c r="E242" s="5"/>
      <c r="F242" s="6">
        <f t="shared" si="14"/>
        <v>0</v>
      </c>
      <c r="G242" s="5"/>
      <c r="H242" s="5"/>
      <c r="I242" s="6">
        <f t="shared" si="16"/>
        <v>0</v>
      </c>
    </row>
    <row r="243" spans="1:9" ht="15">
      <c r="A243" s="15">
        <v>150</v>
      </c>
      <c r="B243" s="15">
        <v>41</v>
      </c>
      <c r="C243" s="23" t="s">
        <v>158</v>
      </c>
      <c r="D243" s="5"/>
      <c r="E243" s="5"/>
      <c r="F243" s="6">
        <f t="shared" si="14"/>
        <v>0</v>
      </c>
      <c r="G243" s="5"/>
      <c r="H243" s="5"/>
      <c r="I243" s="6">
        <f t="shared" si="16"/>
        <v>0</v>
      </c>
    </row>
    <row r="244" spans="1:9" ht="15">
      <c r="A244" s="15">
        <v>151</v>
      </c>
      <c r="B244" s="15">
        <v>42</v>
      </c>
      <c r="C244" s="23" t="s">
        <v>159</v>
      </c>
      <c r="D244" s="5"/>
      <c r="E244" s="5"/>
      <c r="F244" s="6">
        <f t="shared" si="14"/>
        <v>0</v>
      </c>
      <c r="G244" s="5"/>
      <c r="H244" s="5"/>
      <c r="I244" s="6">
        <f t="shared" si="16"/>
        <v>0</v>
      </c>
    </row>
    <row r="245" spans="1:9" ht="15">
      <c r="A245" s="15">
        <v>152</v>
      </c>
      <c r="B245" s="15">
        <v>43</v>
      </c>
      <c r="C245" s="23" t="s">
        <v>160</v>
      </c>
      <c r="D245" s="5">
        <v>400000</v>
      </c>
      <c r="E245" s="5"/>
      <c r="F245" s="6">
        <f t="shared" si="14"/>
        <v>400000</v>
      </c>
      <c r="G245" s="5"/>
      <c r="H245" s="5"/>
      <c r="I245" s="6">
        <f t="shared" si="16"/>
        <v>0</v>
      </c>
    </row>
    <row r="246" spans="1:9" ht="15">
      <c r="A246" s="15">
        <v>153</v>
      </c>
      <c r="B246" s="15">
        <v>44</v>
      </c>
      <c r="C246" s="23" t="s">
        <v>161</v>
      </c>
      <c r="D246" s="5"/>
      <c r="E246" s="5"/>
      <c r="F246" s="6">
        <f t="shared" si="14"/>
        <v>0</v>
      </c>
      <c r="G246" s="5"/>
      <c r="H246" s="5"/>
      <c r="I246" s="6">
        <f t="shared" si="16"/>
        <v>0</v>
      </c>
    </row>
    <row r="247" spans="1:9" ht="15">
      <c r="A247" s="15">
        <v>154</v>
      </c>
      <c r="B247" s="15">
        <v>45</v>
      </c>
      <c r="C247" s="23" t="s">
        <v>246</v>
      </c>
      <c r="D247" s="5"/>
      <c r="E247" s="5"/>
      <c r="F247" s="6">
        <f>SUM(D247:E247)</f>
        <v>0</v>
      </c>
      <c r="G247" s="5"/>
      <c r="H247" s="5"/>
      <c r="I247" s="6">
        <f>SUM(G247:H247)</f>
        <v>0</v>
      </c>
    </row>
    <row r="248" spans="1:9" ht="15">
      <c r="A248" s="15">
        <v>155</v>
      </c>
      <c r="B248" s="15">
        <v>46</v>
      </c>
      <c r="C248" s="23" t="s">
        <v>169</v>
      </c>
      <c r="D248" s="5"/>
      <c r="E248" s="5"/>
      <c r="F248" s="6">
        <f>SUM(D248:E248)</f>
        <v>0</v>
      </c>
      <c r="G248" s="5"/>
      <c r="H248" s="5"/>
      <c r="I248" s="6">
        <f>SUM(G248:H248)</f>
        <v>0</v>
      </c>
    </row>
    <row r="249" spans="1:9" ht="15">
      <c r="A249" s="15">
        <v>156</v>
      </c>
      <c r="B249" s="15">
        <v>47</v>
      </c>
      <c r="C249" s="25" t="s">
        <v>170</v>
      </c>
      <c r="D249" s="5">
        <v>950000</v>
      </c>
      <c r="E249" s="5"/>
      <c r="F249" s="6">
        <f>SUM(D249:E249)</f>
        <v>950000</v>
      </c>
      <c r="G249" s="5">
        <v>950000</v>
      </c>
      <c r="H249" s="5"/>
      <c r="I249" s="6">
        <f>SUM(G249:H249)</f>
        <v>950000</v>
      </c>
    </row>
    <row r="250" spans="1:9" ht="15">
      <c r="A250" s="15">
        <v>157</v>
      </c>
      <c r="B250" s="15">
        <v>48</v>
      </c>
      <c r="C250" s="23" t="s">
        <v>162</v>
      </c>
      <c r="D250" s="5"/>
      <c r="E250" s="5"/>
      <c r="F250" s="6">
        <f t="shared" si="14"/>
        <v>0</v>
      </c>
      <c r="G250" s="5"/>
      <c r="H250" s="5"/>
      <c r="I250" s="6">
        <f t="shared" si="16"/>
        <v>0</v>
      </c>
    </row>
    <row r="251" spans="1:9" ht="15">
      <c r="A251" s="15">
        <v>158</v>
      </c>
      <c r="B251" s="15">
        <v>49</v>
      </c>
      <c r="C251" s="23" t="s">
        <v>165</v>
      </c>
      <c r="D251" s="5">
        <v>1000000</v>
      </c>
      <c r="E251" s="5"/>
      <c r="F251" s="6">
        <f t="shared" si="14"/>
        <v>1000000</v>
      </c>
      <c r="G251" s="5">
        <v>1000000</v>
      </c>
      <c r="H251" s="5"/>
      <c r="I251" s="6">
        <f t="shared" si="16"/>
        <v>1000000</v>
      </c>
    </row>
    <row r="252" spans="1:9" ht="15">
      <c r="A252" s="15">
        <v>159</v>
      </c>
      <c r="B252" s="15">
        <v>50</v>
      </c>
      <c r="C252" s="23" t="s">
        <v>166</v>
      </c>
      <c r="D252" s="5"/>
      <c r="E252" s="5"/>
      <c r="F252" s="6">
        <f t="shared" si="14"/>
        <v>0</v>
      </c>
      <c r="G252" s="5">
        <v>1500000</v>
      </c>
      <c r="H252" s="5"/>
      <c r="I252" s="6">
        <f t="shared" si="16"/>
        <v>1500000</v>
      </c>
    </row>
    <row r="253" spans="1:9" ht="15">
      <c r="A253" s="15">
        <v>160</v>
      </c>
      <c r="B253" s="15">
        <v>51</v>
      </c>
      <c r="C253" s="23" t="s">
        <v>167</v>
      </c>
      <c r="D253" s="5">
        <v>1700000</v>
      </c>
      <c r="E253" s="5"/>
      <c r="F253" s="6">
        <f t="shared" si="14"/>
        <v>1700000</v>
      </c>
      <c r="G253" s="5">
        <v>1700000</v>
      </c>
      <c r="H253" s="5"/>
      <c r="I253" s="6">
        <f t="shared" si="16"/>
        <v>1700000</v>
      </c>
    </row>
    <row r="254" spans="1:9" ht="15">
      <c r="A254" s="15">
        <v>161</v>
      </c>
      <c r="B254" s="15">
        <v>52</v>
      </c>
      <c r="C254" s="23" t="s">
        <v>168</v>
      </c>
      <c r="D254" s="5"/>
      <c r="E254" s="5"/>
      <c r="F254" s="6">
        <f t="shared" si="14"/>
        <v>0</v>
      </c>
      <c r="G254" s="5"/>
      <c r="H254" s="5"/>
      <c r="I254" s="6">
        <f t="shared" si="16"/>
        <v>0</v>
      </c>
    </row>
    <row r="255" spans="1:9" ht="15">
      <c r="A255" s="15">
        <v>162</v>
      </c>
      <c r="B255" s="15">
        <v>53</v>
      </c>
      <c r="C255" s="23" t="s">
        <v>163</v>
      </c>
      <c r="D255" s="5">
        <v>750000</v>
      </c>
      <c r="E255" s="5"/>
      <c r="F255" s="6">
        <f>SUM(D255:E255)</f>
        <v>750000</v>
      </c>
      <c r="G255" s="5">
        <v>750000</v>
      </c>
      <c r="H255" s="5"/>
      <c r="I255" s="6">
        <f>SUM(G255:H255)</f>
        <v>750000</v>
      </c>
    </row>
    <row r="256" spans="1:9" ht="15">
      <c r="A256" s="15">
        <v>163</v>
      </c>
      <c r="B256" s="15">
        <v>54</v>
      </c>
      <c r="C256" s="23" t="s">
        <v>164</v>
      </c>
      <c r="D256" s="5">
        <v>350000</v>
      </c>
      <c r="E256" s="5"/>
      <c r="F256" s="6">
        <f>SUM(D256:E256)</f>
        <v>350000</v>
      </c>
      <c r="G256" s="5">
        <v>350000</v>
      </c>
      <c r="H256" s="5"/>
      <c r="I256" s="6">
        <f>SUM(G256:H256)</f>
        <v>350000</v>
      </c>
    </row>
    <row r="257" spans="1:9" ht="15">
      <c r="A257" s="15">
        <v>164</v>
      </c>
      <c r="B257" s="15">
        <v>55</v>
      </c>
      <c r="C257" s="23" t="s">
        <v>247</v>
      </c>
      <c r="D257" s="5"/>
      <c r="E257" s="5"/>
      <c r="F257" s="6">
        <f>SUM(D257:E257)</f>
        <v>0</v>
      </c>
      <c r="G257" s="5">
        <v>210000</v>
      </c>
      <c r="H257" s="5"/>
      <c r="I257" s="6">
        <f>SUM(G257:H257)</f>
        <v>210000</v>
      </c>
    </row>
    <row r="258" spans="1:9" ht="15">
      <c r="A258" s="239" t="s">
        <v>5</v>
      </c>
      <c r="B258" s="239"/>
      <c r="C258" s="239"/>
      <c r="D258" s="7">
        <f>SUM(D203:D257)</f>
        <v>7179127</v>
      </c>
      <c r="E258" s="7">
        <f>SUM(E203:E257)</f>
        <v>2694200</v>
      </c>
      <c r="F258" s="7">
        <f>SUM(D258:E258)</f>
        <v>9873327</v>
      </c>
      <c r="G258" s="7">
        <f>SUM(G203:G257)</f>
        <v>8678489</v>
      </c>
      <c r="H258" s="7">
        <f>SUM(H203:H257)</f>
        <v>3811200</v>
      </c>
      <c r="I258" s="7">
        <f>SUM(G258:H258)</f>
        <v>12489689</v>
      </c>
    </row>
    <row r="259" spans="1:9" ht="15">
      <c r="A259" s="224" t="s">
        <v>171</v>
      </c>
      <c r="B259" s="225"/>
      <c r="C259" s="225"/>
      <c r="D259" s="225"/>
      <c r="E259" s="225"/>
      <c r="F259" s="225"/>
      <c r="G259" s="225"/>
      <c r="H259" s="225"/>
      <c r="I259" s="226"/>
    </row>
    <row r="260" spans="1:9" ht="15">
      <c r="A260" s="15">
        <v>165</v>
      </c>
      <c r="B260" s="15">
        <v>1</v>
      </c>
      <c r="C260" s="20" t="s">
        <v>172</v>
      </c>
      <c r="D260" s="5"/>
      <c r="E260" s="5"/>
      <c r="F260" s="6">
        <f>SUM(D260:E260)</f>
        <v>0</v>
      </c>
      <c r="G260" s="5">
        <v>965248</v>
      </c>
      <c r="H260" s="5">
        <v>30000</v>
      </c>
      <c r="I260" s="6">
        <f>SUM(G260:H260)</f>
        <v>995248</v>
      </c>
    </row>
    <row r="261" spans="1:9" ht="15">
      <c r="A261" s="15">
        <v>166</v>
      </c>
      <c r="B261" s="79">
        <v>2</v>
      </c>
      <c r="C261" s="96" t="s">
        <v>250</v>
      </c>
      <c r="D261" s="5"/>
      <c r="E261" s="5"/>
      <c r="F261" s="6"/>
      <c r="G261" s="5">
        <v>945278</v>
      </c>
      <c r="H261" s="5">
        <v>5000</v>
      </c>
      <c r="I261" s="6">
        <f>SUM(G261:H261)</f>
        <v>950278</v>
      </c>
    </row>
    <row r="262" spans="1:9" ht="15">
      <c r="A262" s="224" t="s">
        <v>42</v>
      </c>
      <c r="B262" s="225"/>
      <c r="C262" s="225"/>
      <c r="D262" s="7">
        <f>D260</f>
        <v>0</v>
      </c>
      <c r="E262" s="7">
        <f>E260</f>
        <v>0</v>
      </c>
      <c r="F262" s="7">
        <f>SUM(D262:E262)</f>
        <v>0</v>
      </c>
      <c r="G262" s="7">
        <f>SUM(G260:G261)</f>
        <v>1910526</v>
      </c>
      <c r="H262" s="7">
        <f>SUM(H260:H261)</f>
        <v>35000</v>
      </c>
      <c r="I262" s="7">
        <f>SUM(G262:H262)</f>
        <v>1945526</v>
      </c>
    </row>
    <row r="263" spans="1:9" ht="15">
      <c r="A263" s="224" t="s">
        <v>173</v>
      </c>
      <c r="B263" s="225"/>
      <c r="C263" s="225"/>
      <c r="D263" s="225"/>
      <c r="E263" s="225"/>
      <c r="F263" s="225"/>
      <c r="G263" s="225"/>
      <c r="H263" s="225"/>
      <c r="I263" s="226"/>
    </row>
    <row r="264" spans="1:9" ht="15">
      <c r="A264" s="15">
        <v>167</v>
      </c>
      <c r="B264" s="15">
        <v>1</v>
      </c>
      <c r="C264" s="26" t="s">
        <v>174</v>
      </c>
      <c r="D264" s="5"/>
      <c r="E264" s="27"/>
      <c r="F264" s="6">
        <f>SUM(D264:E264)</f>
        <v>0</v>
      </c>
      <c r="G264" s="5"/>
      <c r="H264" s="27"/>
      <c r="I264" s="6">
        <f>SUM(G264:H264)</f>
        <v>0</v>
      </c>
    </row>
    <row r="265" spans="1:9" ht="15">
      <c r="A265" s="15">
        <v>168</v>
      </c>
      <c r="B265" s="15">
        <v>2</v>
      </c>
      <c r="C265" s="28" t="s">
        <v>175</v>
      </c>
      <c r="D265" s="5"/>
      <c r="E265" s="27">
        <v>1500000</v>
      </c>
      <c r="F265" s="6">
        <f>D265+E265</f>
        <v>1500000</v>
      </c>
      <c r="G265" s="5"/>
      <c r="H265" s="27">
        <v>1500000</v>
      </c>
      <c r="I265" s="6">
        <f>G265+H265</f>
        <v>1500000</v>
      </c>
    </row>
    <row r="266" spans="1:9" ht="15">
      <c r="A266" s="224" t="s">
        <v>42</v>
      </c>
      <c r="B266" s="225"/>
      <c r="C266" s="225"/>
      <c r="D266" s="7">
        <f>SUM(D264:D265)</f>
        <v>0</v>
      </c>
      <c r="E266" s="7">
        <f>SUM(E264:E265)</f>
        <v>1500000</v>
      </c>
      <c r="F266" s="7">
        <f>SUM(D266:E266)</f>
        <v>1500000</v>
      </c>
      <c r="G266" s="7">
        <f>SUM(G264:G265)</f>
        <v>0</v>
      </c>
      <c r="H266" s="7">
        <f>SUM(H264:H265)</f>
        <v>1500000</v>
      </c>
      <c r="I266" s="7">
        <f>SUM(G266:H266)</f>
        <v>1500000</v>
      </c>
    </row>
    <row r="267" spans="1:9" ht="15">
      <c r="A267" s="224" t="s">
        <v>176</v>
      </c>
      <c r="B267" s="225"/>
      <c r="C267" s="225"/>
      <c r="D267" s="225"/>
      <c r="E267" s="225"/>
      <c r="F267" s="225"/>
      <c r="G267" s="225"/>
      <c r="H267" s="225"/>
      <c r="I267" s="226"/>
    </row>
    <row r="268" spans="1:9" ht="15">
      <c r="A268" s="15">
        <v>169</v>
      </c>
      <c r="B268" s="15">
        <v>1</v>
      </c>
      <c r="C268" s="17" t="s">
        <v>177</v>
      </c>
      <c r="D268" s="5"/>
      <c r="E268" s="5"/>
      <c r="F268" s="6">
        <f>SUM(D268:E268)</f>
        <v>0</v>
      </c>
      <c r="G268" s="5"/>
      <c r="H268" s="5"/>
      <c r="I268" s="6">
        <f>SUM(G268:H268)</f>
        <v>0</v>
      </c>
    </row>
    <row r="269" spans="1:9" ht="15">
      <c r="A269" s="15">
        <v>170</v>
      </c>
      <c r="B269" s="15">
        <v>2</v>
      </c>
      <c r="C269" s="17" t="s">
        <v>178</v>
      </c>
      <c r="D269" s="5"/>
      <c r="E269" s="5"/>
      <c r="F269" s="6">
        <f aca="true" t="shared" si="17" ref="F269:F280">SUM(D269:E269)</f>
        <v>0</v>
      </c>
      <c r="G269" s="5"/>
      <c r="H269" s="5">
        <v>1000000</v>
      </c>
      <c r="I269" s="6">
        <f aca="true" t="shared" si="18" ref="I269:I279">SUM(G269:H269)</f>
        <v>1000000</v>
      </c>
    </row>
    <row r="270" spans="1:9" ht="15">
      <c r="A270" s="15">
        <v>171</v>
      </c>
      <c r="B270" s="15">
        <v>3</v>
      </c>
      <c r="C270" s="29" t="s">
        <v>179</v>
      </c>
      <c r="D270" s="5"/>
      <c r="E270" s="5"/>
      <c r="F270" s="6">
        <f t="shared" si="17"/>
        <v>0</v>
      </c>
      <c r="G270" s="5">
        <v>2961148</v>
      </c>
      <c r="H270" s="5"/>
      <c r="I270" s="6">
        <f t="shared" si="18"/>
        <v>2961148</v>
      </c>
    </row>
    <row r="271" spans="1:9" ht="15">
      <c r="A271" s="15">
        <v>172</v>
      </c>
      <c r="B271" s="15">
        <v>4</v>
      </c>
      <c r="C271" s="29" t="s">
        <v>254</v>
      </c>
      <c r="D271" s="5"/>
      <c r="E271" s="5"/>
      <c r="F271" s="6">
        <f t="shared" si="17"/>
        <v>0</v>
      </c>
      <c r="G271" s="5"/>
      <c r="H271" s="5">
        <v>80000</v>
      </c>
      <c r="I271" s="6">
        <f t="shared" si="18"/>
        <v>80000</v>
      </c>
    </row>
    <row r="272" spans="1:9" ht="15">
      <c r="A272" s="15">
        <v>173</v>
      </c>
      <c r="B272" s="15">
        <v>5</v>
      </c>
      <c r="C272" s="26" t="s">
        <v>220</v>
      </c>
      <c r="D272" s="5">
        <v>200000</v>
      </c>
      <c r="E272" s="5">
        <v>200000</v>
      </c>
      <c r="F272" s="6">
        <f t="shared" si="17"/>
        <v>400000</v>
      </c>
      <c r="G272" s="5">
        <v>50000</v>
      </c>
      <c r="H272" s="5"/>
      <c r="I272" s="6">
        <f t="shared" si="18"/>
        <v>50000</v>
      </c>
    </row>
    <row r="273" spans="1:9" ht="15">
      <c r="A273" s="15">
        <v>174</v>
      </c>
      <c r="B273" s="15">
        <v>6</v>
      </c>
      <c r="C273" s="26" t="s">
        <v>221</v>
      </c>
      <c r="D273" s="5"/>
      <c r="E273" s="5"/>
      <c r="F273" s="6">
        <f t="shared" si="17"/>
        <v>0</v>
      </c>
      <c r="G273" s="5">
        <v>200000</v>
      </c>
      <c r="H273" s="5"/>
      <c r="I273" s="6">
        <f t="shared" si="18"/>
        <v>200000</v>
      </c>
    </row>
    <row r="274" spans="1:9" ht="15">
      <c r="A274" s="15">
        <v>175</v>
      </c>
      <c r="B274" s="15">
        <v>7</v>
      </c>
      <c r="C274" s="26" t="s">
        <v>222</v>
      </c>
      <c r="D274" s="5">
        <f>200000+500000</f>
        <v>700000</v>
      </c>
      <c r="E274" s="5"/>
      <c r="F274" s="6">
        <f t="shared" si="17"/>
        <v>700000</v>
      </c>
      <c r="G274" s="5">
        <v>400000</v>
      </c>
      <c r="H274" s="5"/>
      <c r="I274" s="6">
        <f t="shared" si="18"/>
        <v>400000</v>
      </c>
    </row>
    <row r="275" spans="1:12" ht="15">
      <c r="A275" s="15">
        <v>176</v>
      </c>
      <c r="B275" s="15">
        <v>8</v>
      </c>
      <c r="C275" s="26" t="s">
        <v>223</v>
      </c>
      <c r="D275" s="5"/>
      <c r="E275" s="5">
        <v>100000</v>
      </c>
      <c r="F275" s="6">
        <f t="shared" si="17"/>
        <v>100000</v>
      </c>
      <c r="G275" s="5"/>
      <c r="H275" s="5"/>
      <c r="I275" s="6">
        <f t="shared" si="18"/>
        <v>0</v>
      </c>
      <c r="L275" s="16">
        <f>44942183-H290</f>
        <v>2105614</v>
      </c>
    </row>
    <row r="276" spans="1:9" ht="15">
      <c r="A276" s="15">
        <v>177</v>
      </c>
      <c r="B276" s="15">
        <v>9</v>
      </c>
      <c r="C276" s="26" t="s">
        <v>256</v>
      </c>
      <c r="D276" s="5"/>
      <c r="E276" s="5"/>
      <c r="F276" s="6">
        <f t="shared" si="17"/>
        <v>0</v>
      </c>
      <c r="G276" s="5"/>
      <c r="H276" s="5"/>
      <c r="I276" s="6">
        <f t="shared" si="18"/>
        <v>0</v>
      </c>
    </row>
    <row r="277" spans="1:9" ht="15">
      <c r="A277" s="15">
        <v>178</v>
      </c>
      <c r="B277" s="15">
        <v>10</v>
      </c>
      <c r="C277" s="26" t="s">
        <v>224</v>
      </c>
      <c r="D277" s="5"/>
      <c r="E277" s="5"/>
      <c r="F277" s="6">
        <f t="shared" si="17"/>
        <v>0</v>
      </c>
      <c r="G277" s="5"/>
      <c r="H277" s="5"/>
      <c r="I277" s="6">
        <f t="shared" si="18"/>
        <v>0</v>
      </c>
    </row>
    <row r="278" spans="1:9" ht="15">
      <c r="A278" s="15">
        <v>179</v>
      </c>
      <c r="B278" s="15">
        <v>11</v>
      </c>
      <c r="C278" s="28" t="s">
        <v>186</v>
      </c>
      <c r="D278" s="5"/>
      <c r="E278" s="5"/>
      <c r="F278" s="6">
        <f>SUM(D278:E278)</f>
        <v>0</v>
      </c>
      <c r="G278" s="5"/>
      <c r="H278" s="5"/>
      <c r="I278" s="6">
        <f>SUM(G278:H278)</f>
        <v>0</v>
      </c>
    </row>
    <row r="279" spans="1:9" ht="15">
      <c r="A279" s="15">
        <v>180</v>
      </c>
      <c r="B279" s="15">
        <v>12</v>
      </c>
      <c r="C279" s="26" t="s">
        <v>245</v>
      </c>
      <c r="D279" s="5"/>
      <c r="E279" s="5"/>
      <c r="F279" s="6">
        <f t="shared" si="17"/>
        <v>0</v>
      </c>
      <c r="G279" s="5">
        <v>240000</v>
      </c>
      <c r="H279" s="5"/>
      <c r="I279" s="6">
        <f t="shared" si="18"/>
        <v>240000</v>
      </c>
    </row>
    <row r="280" spans="1:9" ht="15">
      <c r="A280" s="15">
        <v>181</v>
      </c>
      <c r="B280" s="15">
        <v>13</v>
      </c>
      <c r="C280" s="30" t="s">
        <v>183</v>
      </c>
      <c r="D280" s="5">
        <v>125000</v>
      </c>
      <c r="E280" s="5"/>
      <c r="F280" s="6">
        <f t="shared" si="17"/>
        <v>125000</v>
      </c>
      <c r="G280" s="5"/>
      <c r="H280" s="5"/>
      <c r="I280" s="6">
        <f>SUM(G280:H280)</f>
        <v>0</v>
      </c>
    </row>
    <row r="281" spans="1:9" ht="15">
      <c r="A281" s="15">
        <v>182</v>
      </c>
      <c r="B281" s="15">
        <v>14</v>
      </c>
      <c r="C281" s="30" t="s">
        <v>185</v>
      </c>
      <c r="D281" s="5">
        <v>220000</v>
      </c>
      <c r="E281" s="5"/>
      <c r="F281" s="6">
        <f aca="true" t="shared" si="19" ref="F281:F288">SUM(D281:E281)</f>
        <v>220000</v>
      </c>
      <c r="G281" s="5">
        <v>220000</v>
      </c>
      <c r="H281" s="5"/>
      <c r="I281" s="6">
        <f>SUM(G281:H281)</f>
        <v>220000</v>
      </c>
    </row>
    <row r="282" spans="1:14" ht="15">
      <c r="A282" s="15">
        <v>183</v>
      </c>
      <c r="B282" s="15">
        <v>15</v>
      </c>
      <c r="C282" s="32" t="s">
        <v>187</v>
      </c>
      <c r="D282" s="31">
        <v>100000</v>
      </c>
      <c r="E282" s="27"/>
      <c r="F282" s="6">
        <f t="shared" si="19"/>
        <v>100000</v>
      </c>
      <c r="G282" s="31">
        <v>50000</v>
      </c>
      <c r="H282" s="27"/>
      <c r="I282" s="6">
        <f aca="true" t="shared" si="20" ref="I282:I288">SUM(G282:H282)</f>
        <v>50000</v>
      </c>
      <c r="N282" s="16"/>
    </row>
    <row r="283" spans="1:9" ht="15">
      <c r="A283" s="15">
        <v>184</v>
      </c>
      <c r="B283" s="15">
        <v>16</v>
      </c>
      <c r="C283" s="32" t="s">
        <v>188</v>
      </c>
      <c r="D283" s="31"/>
      <c r="E283" s="27"/>
      <c r="F283" s="6">
        <f t="shared" si="19"/>
        <v>0</v>
      </c>
      <c r="G283" s="31">
        <v>170000</v>
      </c>
      <c r="H283" s="27"/>
      <c r="I283" s="6">
        <f t="shared" si="20"/>
        <v>170000</v>
      </c>
    </row>
    <row r="284" spans="1:13" ht="15">
      <c r="A284" s="15">
        <v>185</v>
      </c>
      <c r="B284" s="15">
        <v>17</v>
      </c>
      <c r="C284" s="32" t="s">
        <v>204</v>
      </c>
      <c r="D284" s="31">
        <v>1500000</v>
      </c>
      <c r="E284" s="27"/>
      <c r="F284" s="6">
        <f t="shared" si="19"/>
        <v>1500000</v>
      </c>
      <c r="G284" s="31"/>
      <c r="H284" s="27"/>
      <c r="I284" s="6">
        <f t="shared" si="20"/>
        <v>0</v>
      </c>
      <c r="L284" s="126"/>
      <c r="M284" s="126"/>
    </row>
    <row r="285" spans="1:13" ht="15">
      <c r="A285" s="15">
        <v>186</v>
      </c>
      <c r="B285" s="15">
        <v>18</v>
      </c>
      <c r="C285" s="32" t="s">
        <v>217</v>
      </c>
      <c r="D285" s="31">
        <f>262500+325000</f>
        <v>587500</v>
      </c>
      <c r="E285" s="27"/>
      <c r="F285" s="6">
        <f t="shared" si="19"/>
        <v>587500</v>
      </c>
      <c r="G285" s="31"/>
      <c r="H285" s="27"/>
      <c r="I285" s="6">
        <f t="shared" si="20"/>
        <v>0</v>
      </c>
      <c r="L285" s="16"/>
      <c r="M285" s="16"/>
    </row>
    <row r="286" spans="1:13" ht="15">
      <c r="A286" s="15">
        <v>187</v>
      </c>
      <c r="B286" s="15">
        <v>19</v>
      </c>
      <c r="C286" s="32" t="s">
        <v>218</v>
      </c>
      <c r="D286" s="31"/>
      <c r="E286" s="27">
        <v>1000000</v>
      </c>
      <c r="F286" s="6">
        <f t="shared" si="19"/>
        <v>1000000</v>
      </c>
      <c r="G286" s="31"/>
      <c r="H286" s="27"/>
      <c r="I286" s="6">
        <f t="shared" si="20"/>
        <v>0</v>
      </c>
      <c r="L286" s="16"/>
      <c r="M286" s="16"/>
    </row>
    <row r="287" spans="1:13" ht="15">
      <c r="A287" s="15">
        <v>188</v>
      </c>
      <c r="B287" s="15">
        <v>20</v>
      </c>
      <c r="C287" s="32" t="s">
        <v>219</v>
      </c>
      <c r="D287" s="31"/>
      <c r="E287" s="27">
        <v>25000</v>
      </c>
      <c r="F287" s="6">
        <f t="shared" si="19"/>
        <v>25000</v>
      </c>
      <c r="G287" s="31"/>
      <c r="H287" s="27"/>
      <c r="I287" s="6">
        <f t="shared" si="20"/>
        <v>0</v>
      </c>
      <c r="L287" s="16"/>
      <c r="M287" s="16"/>
    </row>
    <row r="288" spans="1:9" ht="15">
      <c r="A288" s="15">
        <v>189</v>
      </c>
      <c r="B288" s="15">
        <v>21</v>
      </c>
      <c r="C288" s="32" t="s">
        <v>225</v>
      </c>
      <c r="D288" s="31">
        <v>300000</v>
      </c>
      <c r="E288" s="27"/>
      <c r="F288" s="6">
        <f t="shared" si="19"/>
        <v>300000</v>
      </c>
      <c r="G288" s="31">
        <v>300000</v>
      </c>
      <c r="H288" s="27"/>
      <c r="I288" s="6">
        <f t="shared" si="20"/>
        <v>300000</v>
      </c>
    </row>
    <row r="289" spans="1:9" ht="15.75" thickBot="1">
      <c r="A289" s="253" t="s">
        <v>42</v>
      </c>
      <c r="B289" s="254"/>
      <c r="C289" s="255"/>
      <c r="D289" s="33">
        <f>SUM(D268:D288)</f>
        <v>3732500</v>
      </c>
      <c r="E289" s="33">
        <f>SUM(E268:E288)</f>
        <v>1325000</v>
      </c>
      <c r="F289" s="33">
        <f>SUM(D289:E289)</f>
        <v>5057500</v>
      </c>
      <c r="G289" s="33">
        <f>SUM(G268:G288)</f>
        <v>4591148</v>
      </c>
      <c r="H289" s="33">
        <f>SUM(H269:H288)</f>
        <v>1080000</v>
      </c>
      <c r="I289" s="33">
        <f>SUM(G289:H289)</f>
        <v>5671148</v>
      </c>
    </row>
    <row r="290" spans="1:13" ht="16.5" thickBot="1" thickTop="1">
      <c r="A290" s="237" t="s">
        <v>190</v>
      </c>
      <c r="B290" s="238"/>
      <c r="C290" s="238"/>
      <c r="D290" s="34">
        <f>D289+D266+D262+D258+D201+D176+D154+D132+D129+D126+D121+D108+D86+D77+D74</f>
        <v>109285026</v>
      </c>
      <c r="E290" s="34">
        <f>E289+E266+E262+E258+E201+E176+E154+E132+E129+E126+E121+E108+E86+E77+E74</f>
        <v>43981527</v>
      </c>
      <c r="F290" s="34">
        <f>SUM(D290:E290)</f>
        <v>153266553</v>
      </c>
      <c r="G290" s="34">
        <f>G289+G266+G262+G258+G201+G176+G154+G132+G129+G126+G121+G108+G86+G77+G74</f>
        <v>97625271</v>
      </c>
      <c r="H290" s="34">
        <f>H289+H266+H262+H258+H201+H176+H154+H132+H129+H126+H121+H108+H86+H77+H74</f>
        <v>42836569</v>
      </c>
      <c r="I290" s="34">
        <f>SUM(G290:H290)</f>
        <v>140461840</v>
      </c>
      <c r="K290" s="81"/>
      <c r="L290" s="82"/>
      <c r="M290" s="82"/>
    </row>
    <row r="291" spans="1:10" ht="15.75" thickTop="1">
      <c r="A291" s="35"/>
      <c r="B291" s="35"/>
      <c r="C291" s="35"/>
      <c r="D291" s="36"/>
      <c r="E291" s="36"/>
      <c r="F291" s="36"/>
      <c r="G291" s="36"/>
      <c r="H291" s="36"/>
      <c r="I291" s="36"/>
      <c r="J291" s="37"/>
    </row>
    <row r="292" spans="1:8" ht="15">
      <c r="A292" s="39"/>
      <c r="B292" s="39"/>
      <c r="C292" s="39"/>
      <c r="D292" s="38"/>
      <c r="E292" s="38"/>
      <c r="G292" s="38" t="s">
        <v>239</v>
      </c>
      <c r="H292" s="38"/>
    </row>
    <row r="293" spans="1:8" ht="15">
      <c r="A293" s="39"/>
      <c r="B293" s="39"/>
      <c r="C293" s="38" t="s">
        <v>199</v>
      </c>
      <c r="D293" s="38"/>
      <c r="E293" s="38"/>
      <c r="G293" s="240" t="s">
        <v>349</v>
      </c>
      <c r="H293" s="240"/>
    </row>
    <row r="294" spans="1:8" ht="15">
      <c r="A294" s="39"/>
      <c r="B294" s="39"/>
      <c r="C294" s="39"/>
      <c r="D294" s="39"/>
      <c r="E294" s="39"/>
      <c r="G294" s="39"/>
      <c r="H294" s="39"/>
    </row>
    <row r="295" spans="1:8" ht="15">
      <c r="A295" s="39"/>
      <c r="B295" s="61"/>
      <c r="C295" s="272" t="s">
        <v>866</v>
      </c>
      <c r="D295" s="39"/>
      <c r="E295" s="39"/>
      <c r="G295" s="270" t="s">
        <v>866</v>
      </c>
      <c r="H295" s="39"/>
    </row>
    <row r="296" spans="1:12" ht="15">
      <c r="A296" s="39"/>
      <c r="B296" s="61"/>
      <c r="C296" s="38" t="s">
        <v>269</v>
      </c>
      <c r="D296" s="62"/>
      <c r="E296" s="62"/>
      <c r="F296" s="240" t="s">
        <v>350</v>
      </c>
      <c r="G296" s="240"/>
      <c r="H296" s="240"/>
      <c r="I296" s="240"/>
      <c r="L296" s="16"/>
    </row>
    <row r="297" spans="1:10" ht="15">
      <c r="A297" s="35"/>
      <c r="B297" s="35"/>
      <c r="C297" s="35"/>
      <c r="D297" s="36"/>
      <c r="E297" s="36"/>
      <c r="F297" s="36"/>
      <c r="G297" s="36"/>
      <c r="H297" s="36"/>
      <c r="I297" s="36"/>
      <c r="J297" s="37"/>
    </row>
    <row r="298" spans="1:9" ht="15">
      <c r="A298" s="240" t="s">
        <v>191</v>
      </c>
      <c r="B298" s="240"/>
      <c r="C298" s="240"/>
      <c r="D298" s="240"/>
      <c r="E298" s="240"/>
      <c r="F298" s="240"/>
      <c r="G298" s="240"/>
      <c r="H298" s="240"/>
      <c r="I298" s="240"/>
    </row>
    <row r="299" spans="1:9" ht="15">
      <c r="A299" s="240" t="s">
        <v>238</v>
      </c>
      <c r="B299" s="240"/>
      <c r="C299" s="240"/>
      <c r="D299" s="240"/>
      <c r="E299" s="240"/>
      <c r="F299" s="240"/>
      <c r="G299" s="240"/>
      <c r="H299" s="240"/>
      <c r="I299" s="240"/>
    </row>
    <row r="300" spans="1:9" ht="15">
      <c r="A300" s="38" t="s">
        <v>192</v>
      </c>
      <c r="B300" s="72" t="s">
        <v>195</v>
      </c>
      <c r="C300" s="38"/>
      <c r="D300" s="38"/>
      <c r="E300" s="38"/>
      <c r="F300" s="38"/>
      <c r="G300" s="38"/>
      <c r="H300" s="38"/>
      <c r="I300" s="38"/>
    </row>
    <row r="301" spans="1:9" ht="15">
      <c r="A301" s="40"/>
      <c r="B301" s="243" t="s">
        <v>2</v>
      </c>
      <c r="C301" s="247" t="s">
        <v>193</v>
      </c>
      <c r="D301" s="248"/>
      <c r="E301" s="248"/>
      <c r="F301" s="248"/>
      <c r="G301" s="248"/>
      <c r="H301" s="249"/>
      <c r="I301" s="85" t="s">
        <v>42</v>
      </c>
    </row>
    <row r="302" spans="1:9" ht="15">
      <c r="A302" s="39"/>
      <c r="B302" s="244"/>
      <c r="C302" s="250"/>
      <c r="D302" s="251"/>
      <c r="E302" s="251"/>
      <c r="F302" s="251"/>
      <c r="G302" s="251"/>
      <c r="H302" s="252"/>
      <c r="I302" s="84" t="s">
        <v>194</v>
      </c>
    </row>
    <row r="303" spans="1:9" ht="15">
      <c r="A303" s="39"/>
      <c r="B303" s="41">
        <v>1</v>
      </c>
      <c r="C303" s="45" t="s">
        <v>261</v>
      </c>
      <c r="D303" s="42"/>
      <c r="E303" s="42"/>
      <c r="F303" s="68"/>
      <c r="G303" s="42"/>
      <c r="H303" s="43"/>
      <c r="I303" s="44"/>
    </row>
    <row r="304" spans="1:9" ht="15">
      <c r="A304" s="39"/>
      <c r="B304" s="41"/>
      <c r="C304" s="45" t="s">
        <v>272</v>
      </c>
      <c r="D304" s="42"/>
      <c r="E304" s="42"/>
      <c r="F304" s="63"/>
      <c r="G304" s="42"/>
      <c r="H304" s="43"/>
      <c r="I304" s="44">
        <v>6565900</v>
      </c>
    </row>
    <row r="305" spans="1:9" ht="15">
      <c r="A305" s="39"/>
      <c r="B305" s="41"/>
      <c r="C305" s="45" t="s">
        <v>273</v>
      </c>
      <c r="D305" s="42"/>
      <c r="E305" s="42"/>
      <c r="F305" s="63"/>
      <c r="G305" s="42"/>
      <c r="H305" s="43"/>
      <c r="I305" s="44">
        <v>100000</v>
      </c>
    </row>
    <row r="306" spans="1:9" ht="15">
      <c r="A306" s="39"/>
      <c r="B306" s="41">
        <v>2</v>
      </c>
      <c r="C306" s="45" t="s">
        <v>274</v>
      </c>
      <c r="D306" s="42"/>
      <c r="E306" s="42"/>
      <c r="F306" s="63"/>
      <c r="G306" s="42"/>
      <c r="H306" s="43"/>
      <c r="I306" s="44"/>
    </row>
    <row r="307" spans="1:9" ht="15">
      <c r="A307" s="39"/>
      <c r="B307" s="41"/>
      <c r="C307" s="45" t="s">
        <v>275</v>
      </c>
      <c r="D307" s="42"/>
      <c r="E307" s="42"/>
      <c r="F307" s="63"/>
      <c r="G307" s="42"/>
      <c r="H307" s="43"/>
      <c r="I307" s="44">
        <v>2000000</v>
      </c>
    </row>
    <row r="308" spans="1:9" ht="15">
      <c r="A308" s="39"/>
      <c r="B308" s="41"/>
      <c r="C308" s="46" t="s">
        <v>276</v>
      </c>
      <c r="D308" s="47"/>
      <c r="E308" s="47"/>
      <c r="F308" s="63"/>
      <c r="G308" s="47"/>
      <c r="H308" s="48"/>
      <c r="I308" s="44">
        <v>2000000</v>
      </c>
    </row>
    <row r="309" spans="1:9" ht="15">
      <c r="A309" s="39"/>
      <c r="B309" s="41"/>
      <c r="C309" s="64" t="s">
        <v>277</v>
      </c>
      <c r="D309" s="49"/>
      <c r="E309" s="49"/>
      <c r="F309" s="63"/>
      <c r="G309" s="49"/>
      <c r="H309" s="50"/>
      <c r="I309" s="44">
        <v>2000000</v>
      </c>
    </row>
    <row r="310" spans="1:10" ht="15">
      <c r="A310" s="39"/>
      <c r="B310" s="41"/>
      <c r="C310" s="51" t="s">
        <v>278</v>
      </c>
      <c r="D310" s="52"/>
      <c r="E310" s="52"/>
      <c r="F310" s="63"/>
      <c r="G310" s="52"/>
      <c r="H310" s="53"/>
      <c r="I310" s="54">
        <v>500000</v>
      </c>
      <c r="J310" s="88"/>
    </row>
    <row r="311" spans="1:9" ht="15">
      <c r="A311" s="39"/>
      <c r="B311" s="41">
        <v>3</v>
      </c>
      <c r="C311" s="55" t="s">
        <v>279</v>
      </c>
      <c r="D311" s="52"/>
      <c r="E311" s="52"/>
      <c r="F311" s="63"/>
      <c r="G311" s="52"/>
      <c r="H311" s="53"/>
      <c r="I311" s="54"/>
    </row>
    <row r="312" spans="1:9" ht="15">
      <c r="A312" s="39"/>
      <c r="B312" s="41"/>
      <c r="C312" s="55" t="s">
        <v>280</v>
      </c>
      <c r="D312" s="52"/>
      <c r="E312" s="52"/>
      <c r="F312" s="63"/>
      <c r="G312" s="52"/>
      <c r="H312" s="53"/>
      <c r="I312" s="54">
        <v>1000000</v>
      </c>
    </row>
    <row r="313" spans="1:11" ht="15">
      <c r="A313" s="39"/>
      <c r="B313" s="41"/>
      <c r="C313" s="55" t="s">
        <v>281</v>
      </c>
      <c r="D313" s="52"/>
      <c r="E313" s="52"/>
      <c r="F313" s="63"/>
      <c r="G313" s="52"/>
      <c r="H313" s="53"/>
      <c r="I313" s="54">
        <v>1000000</v>
      </c>
      <c r="K313" t="s">
        <v>198</v>
      </c>
    </row>
    <row r="314" spans="1:9" ht="15">
      <c r="A314" s="39"/>
      <c r="B314" s="41">
        <v>4</v>
      </c>
      <c r="C314" s="55" t="s">
        <v>282</v>
      </c>
      <c r="D314" s="52"/>
      <c r="E314" s="52"/>
      <c r="F314" s="63"/>
      <c r="G314" s="52"/>
      <c r="H314" s="53"/>
      <c r="I314" s="54">
        <v>3000000</v>
      </c>
    </row>
    <row r="315" spans="1:9" ht="15">
      <c r="A315" s="39"/>
      <c r="B315" s="41">
        <v>5</v>
      </c>
      <c r="C315" s="55" t="s">
        <v>226</v>
      </c>
      <c r="D315" s="52"/>
      <c r="E315" s="52"/>
      <c r="F315" s="63"/>
      <c r="G315" s="52"/>
      <c r="H315" s="53"/>
      <c r="I315" s="54">
        <v>520000</v>
      </c>
    </row>
    <row r="316" spans="1:9" ht="15">
      <c r="A316" s="56"/>
      <c r="B316" s="241" t="s">
        <v>5</v>
      </c>
      <c r="C316" s="245"/>
      <c r="D316" s="245"/>
      <c r="E316" s="245"/>
      <c r="F316" s="66"/>
      <c r="G316" s="66"/>
      <c r="H316" s="67"/>
      <c r="I316" s="57">
        <f>SUM(I303:I315)</f>
        <v>18685900</v>
      </c>
    </row>
    <row r="317" spans="1:9" ht="15">
      <c r="A317" s="58"/>
      <c r="B317" s="58"/>
      <c r="C317" s="58"/>
      <c r="D317" s="58"/>
      <c r="E317" s="58"/>
      <c r="F317" s="58"/>
      <c r="G317" s="73"/>
      <c r="H317" s="73"/>
      <c r="I317" s="58"/>
    </row>
    <row r="318" spans="1:9" ht="15">
      <c r="A318" s="74" t="s">
        <v>196</v>
      </c>
      <c r="B318" s="75" t="s">
        <v>197</v>
      </c>
      <c r="C318" s="75"/>
      <c r="D318" s="58"/>
      <c r="E318" s="58"/>
      <c r="F318" s="58"/>
      <c r="G318" s="58"/>
      <c r="H318" s="58"/>
      <c r="I318" s="58"/>
    </row>
    <row r="319" spans="1:9" ht="15">
      <c r="A319" s="40"/>
      <c r="B319" s="243" t="s">
        <v>2</v>
      </c>
      <c r="C319" s="248" t="s">
        <v>193</v>
      </c>
      <c r="D319" s="248"/>
      <c r="E319" s="248"/>
      <c r="F319" s="248"/>
      <c r="G319" s="248"/>
      <c r="H319" s="249"/>
      <c r="I319" s="85" t="s">
        <v>42</v>
      </c>
    </row>
    <row r="320" spans="1:9" ht="15">
      <c r="A320" s="58"/>
      <c r="B320" s="244"/>
      <c r="C320" s="251"/>
      <c r="D320" s="251"/>
      <c r="E320" s="251"/>
      <c r="F320" s="251"/>
      <c r="G320" s="251"/>
      <c r="H320" s="252"/>
      <c r="I320" s="84" t="s">
        <v>194</v>
      </c>
    </row>
    <row r="321" spans="1:9" ht="15">
      <c r="A321" s="58"/>
      <c r="B321" s="70">
        <v>1</v>
      </c>
      <c r="C321" s="45" t="s">
        <v>261</v>
      </c>
      <c r="D321" s="42"/>
      <c r="E321" s="42"/>
      <c r="F321" s="69"/>
      <c r="G321" s="42"/>
      <c r="H321" s="42"/>
      <c r="I321" s="59"/>
    </row>
    <row r="322" spans="1:11" ht="15">
      <c r="A322" s="58"/>
      <c r="B322" s="70"/>
      <c r="C322" s="45" t="s">
        <v>283</v>
      </c>
      <c r="D322" s="60"/>
      <c r="E322" s="60"/>
      <c r="F322" s="69"/>
      <c r="G322" s="60"/>
      <c r="H322" s="60"/>
      <c r="I322" s="59">
        <f>20000+25000+1942179</f>
        <v>1987179</v>
      </c>
      <c r="K322" s="88"/>
    </row>
    <row r="323" spans="1:9" ht="15">
      <c r="A323" s="58"/>
      <c r="B323" s="70"/>
      <c r="C323" s="45" t="s">
        <v>284</v>
      </c>
      <c r="D323" s="60"/>
      <c r="E323" s="60"/>
      <c r="F323" s="69"/>
      <c r="G323" s="60"/>
      <c r="H323" s="60"/>
      <c r="I323" s="59">
        <v>124200</v>
      </c>
    </row>
    <row r="324" spans="1:10" ht="15">
      <c r="A324" s="58"/>
      <c r="B324" s="70"/>
      <c r="C324" s="45" t="s">
        <v>285</v>
      </c>
      <c r="D324" s="60"/>
      <c r="E324" s="60"/>
      <c r="F324" s="69"/>
      <c r="G324" s="60"/>
      <c r="H324" s="60"/>
      <c r="I324" s="59">
        <v>282600</v>
      </c>
      <c r="J324" s="88"/>
    </row>
    <row r="325" spans="1:9" ht="15">
      <c r="A325" s="58"/>
      <c r="B325" s="70">
        <v>2</v>
      </c>
      <c r="C325" s="87" t="s">
        <v>301</v>
      </c>
      <c r="D325" s="60"/>
      <c r="E325" s="60"/>
      <c r="F325" s="69"/>
      <c r="G325" s="60"/>
      <c r="H325" s="60"/>
      <c r="I325" s="59"/>
    </row>
    <row r="326" spans="1:9" ht="15">
      <c r="A326" s="58"/>
      <c r="B326" s="70"/>
      <c r="C326" s="45" t="s">
        <v>286</v>
      </c>
      <c r="D326" s="60"/>
      <c r="E326" s="60"/>
      <c r="F326" s="69"/>
      <c r="G326" s="60"/>
      <c r="H326" s="60"/>
      <c r="I326" s="59">
        <v>710000</v>
      </c>
    </row>
    <row r="327" spans="1:9" ht="15">
      <c r="A327" s="58"/>
      <c r="B327" s="70"/>
      <c r="C327" s="45" t="s">
        <v>287</v>
      </c>
      <c r="D327" s="60"/>
      <c r="E327" s="60"/>
      <c r="F327" s="69"/>
      <c r="G327" s="60"/>
      <c r="H327" s="60"/>
      <c r="I327" s="59">
        <v>495000</v>
      </c>
    </row>
    <row r="328" spans="1:9" ht="15">
      <c r="A328" s="58"/>
      <c r="B328" s="70"/>
      <c r="C328" s="45" t="s">
        <v>288</v>
      </c>
      <c r="D328" s="60"/>
      <c r="E328" s="60"/>
      <c r="F328" s="69"/>
      <c r="G328" s="60"/>
      <c r="H328" s="60"/>
      <c r="I328" s="59">
        <v>50000</v>
      </c>
    </row>
    <row r="329" spans="1:9" ht="15">
      <c r="A329" s="58"/>
      <c r="B329" s="70"/>
      <c r="C329" s="45" t="s">
        <v>299</v>
      </c>
      <c r="D329" s="60"/>
      <c r="E329" s="60"/>
      <c r="F329" s="69"/>
      <c r="G329" s="60"/>
      <c r="H329" s="60"/>
      <c r="I329" s="59">
        <v>3500000</v>
      </c>
    </row>
    <row r="330" spans="1:9" ht="15">
      <c r="A330" s="58"/>
      <c r="B330" s="70"/>
      <c r="C330" s="45" t="s">
        <v>300</v>
      </c>
      <c r="D330" s="60"/>
      <c r="E330" s="60"/>
      <c r="F330" s="69"/>
      <c r="G330" s="60"/>
      <c r="H330" s="60"/>
      <c r="I330" s="59">
        <v>300000</v>
      </c>
    </row>
    <row r="331" spans="1:9" ht="15">
      <c r="A331" s="58"/>
      <c r="B331" s="70"/>
      <c r="C331" s="89" t="s">
        <v>302</v>
      </c>
      <c r="D331" s="60"/>
      <c r="E331" s="60"/>
      <c r="F331" s="69"/>
      <c r="G331" s="60"/>
      <c r="H331" s="60"/>
      <c r="I331" s="59">
        <v>600000</v>
      </c>
    </row>
    <row r="332" spans="1:11" ht="15">
      <c r="A332" s="58"/>
      <c r="B332" s="70">
        <v>3</v>
      </c>
      <c r="C332" s="45" t="s">
        <v>297</v>
      </c>
      <c r="D332" s="60"/>
      <c r="E332" s="60"/>
      <c r="F332" s="69"/>
      <c r="G332" s="60"/>
      <c r="H332" s="60"/>
      <c r="I332" s="59"/>
      <c r="K332" t="s">
        <v>231</v>
      </c>
    </row>
    <row r="333" spans="1:9" ht="15">
      <c r="A333" s="58"/>
      <c r="B333" s="70"/>
      <c r="C333" s="45" t="s">
        <v>289</v>
      </c>
      <c r="D333" s="60"/>
      <c r="E333" s="60"/>
      <c r="F333" s="69"/>
      <c r="G333" s="60"/>
      <c r="H333" s="60"/>
      <c r="I333" s="59">
        <v>2500000</v>
      </c>
    </row>
    <row r="334" spans="1:9" ht="15">
      <c r="A334" s="58"/>
      <c r="B334" s="70"/>
      <c r="C334" s="45" t="s">
        <v>290</v>
      </c>
      <c r="D334" s="60"/>
      <c r="E334" s="60"/>
      <c r="F334" s="69"/>
      <c r="G334" s="60"/>
      <c r="H334" s="60"/>
      <c r="I334" s="59">
        <v>350000</v>
      </c>
    </row>
    <row r="335" spans="1:9" ht="15">
      <c r="A335" s="58"/>
      <c r="B335" s="70">
        <v>4</v>
      </c>
      <c r="C335" s="45" t="s">
        <v>291</v>
      </c>
      <c r="D335" s="60"/>
      <c r="E335" s="60"/>
      <c r="F335" s="69"/>
      <c r="G335" s="60"/>
      <c r="H335" s="60"/>
      <c r="I335" s="59">
        <f>751500</f>
        <v>751500</v>
      </c>
    </row>
    <row r="336" spans="1:9" ht="15">
      <c r="A336" s="58"/>
      <c r="B336" s="70">
        <v>5</v>
      </c>
      <c r="C336" s="45" t="s">
        <v>292</v>
      </c>
      <c r="D336" s="60"/>
      <c r="E336" s="60"/>
      <c r="F336" s="69"/>
      <c r="G336" s="60"/>
      <c r="H336" s="60"/>
      <c r="I336" s="59"/>
    </row>
    <row r="337" spans="1:9" ht="15">
      <c r="A337" s="58"/>
      <c r="B337" s="70"/>
      <c r="C337" s="45" t="s">
        <v>295</v>
      </c>
      <c r="D337" s="60"/>
      <c r="E337" s="60"/>
      <c r="F337" s="69"/>
      <c r="G337" s="60"/>
      <c r="H337" s="60"/>
      <c r="I337" s="59">
        <v>1000000</v>
      </c>
    </row>
    <row r="338" spans="1:9" ht="15">
      <c r="A338" s="58"/>
      <c r="B338" s="70"/>
      <c r="C338" s="45" t="s">
        <v>294</v>
      </c>
      <c r="D338" s="60"/>
      <c r="E338" s="60"/>
      <c r="F338" s="69"/>
      <c r="G338" s="60"/>
      <c r="H338" s="60"/>
      <c r="I338" s="59">
        <v>500000</v>
      </c>
    </row>
    <row r="339" spans="1:9" ht="15">
      <c r="A339" s="58"/>
      <c r="B339" s="70"/>
      <c r="C339" s="45" t="s">
        <v>293</v>
      </c>
      <c r="D339" s="60"/>
      <c r="E339" s="60"/>
      <c r="F339" s="69"/>
      <c r="G339" s="60"/>
      <c r="H339" s="60"/>
      <c r="I339" s="59">
        <v>500000</v>
      </c>
    </row>
    <row r="340" spans="1:9" ht="15">
      <c r="A340" s="58"/>
      <c r="B340" s="70">
        <v>6</v>
      </c>
      <c r="C340" s="45" t="s">
        <v>298</v>
      </c>
      <c r="D340" s="60"/>
      <c r="E340" s="60"/>
      <c r="F340" s="69"/>
      <c r="G340" s="60"/>
      <c r="H340" s="60"/>
      <c r="I340" s="59"/>
    </row>
    <row r="341" spans="1:9" ht="15">
      <c r="A341" s="58"/>
      <c r="B341" s="70"/>
      <c r="C341" s="45" t="s">
        <v>296</v>
      </c>
      <c r="D341" s="60"/>
      <c r="E341" s="60"/>
      <c r="F341" s="69"/>
      <c r="G341" s="60"/>
      <c r="H341" s="60"/>
      <c r="I341" s="59">
        <v>3000000</v>
      </c>
    </row>
    <row r="342" spans="1:9" ht="15">
      <c r="A342" s="58"/>
      <c r="B342" s="70">
        <v>7</v>
      </c>
      <c r="C342" s="46" t="s">
        <v>563</v>
      </c>
      <c r="D342" s="60"/>
      <c r="E342" s="60"/>
      <c r="F342" s="69"/>
      <c r="G342" s="60"/>
      <c r="H342" s="60"/>
      <c r="I342" s="59">
        <v>1000000</v>
      </c>
    </row>
    <row r="343" spans="1:9" ht="15">
      <c r="A343" s="56"/>
      <c r="B343" s="241" t="s">
        <v>5</v>
      </c>
      <c r="C343" s="242"/>
      <c r="D343" s="242"/>
      <c r="E343" s="242"/>
      <c r="F343" s="65"/>
      <c r="G343" s="65"/>
      <c r="H343" s="71"/>
      <c r="I343" s="57">
        <f>SUM(I321:I342)</f>
        <v>17650479</v>
      </c>
    </row>
    <row r="344" spans="1:9" ht="15">
      <c r="A344" s="39"/>
      <c r="B344" s="39"/>
      <c r="C344" s="39"/>
      <c r="D344" s="39"/>
      <c r="E344" s="39"/>
      <c r="F344" s="39" t="s">
        <v>198</v>
      </c>
      <c r="G344" s="39"/>
      <c r="H344" s="39"/>
      <c r="I344" s="39" t="s">
        <v>198</v>
      </c>
    </row>
    <row r="345" spans="1:8" ht="15">
      <c r="A345" s="39"/>
      <c r="B345" s="39"/>
      <c r="C345" s="39"/>
      <c r="D345" s="38"/>
      <c r="E345" s="38"/>
      <c r="G345" s="38" t="s">
        <v>239</v>
      </c>
      <c r="H345" s="38"/>
    </row>
    <row r="346" spans="1:8" ht="15">
      <c r="A346" s="39"/>
      <c r="B346" s="39"/>
      <c r="C346" s="38" t="s">
        <v>199</v>
      </c>
      <c r="D346" s="38"/>
      <c r="E346" s="38"/>
      <c r="G346" s="240" t="s">
        <v>268</v>
      </c>
      <c r="H346" s="240"/>
    </row>
    <row r="347" spans="1:8" ht="15">
      <c r="A347" s="39"/>
      <c r="B347" s="39"/>
      <c r="C347" s="39"/>
      <c r="D347" s="39"/>
      <c r="E347" s="39"/>
      <c r="G347" s="39"/>
      <c r="H347" s="39"/>
    </row>
    <row r="348" spans="1:8" ht="15">
      <c r="A348" s="39"/>
      <c r="B348" s="61"/>
      <c r="C348" s="272" t="s">
        <v>866</v>
      </c>
      <c r="D348" s="39"/>
      <c r="E348" s="39"/>
      <c r="G348" s="270" t="s">
        <v>866</v>
      </c>
      <c r="H348" s="39"/>
    </row>
    <row r="349" spans="1:9" ht="15">
      <c r="A349" s="39"/>
      <c r="B349" s="61"/>
      <c r="C349" s="38" t="s">
        <v>269</v>
      </c>
      <c r="D349" s="62"/>
      <c r="E349" s="62"/>
      <c r="F349" s="240" t="s">
        <v>351</v>
      </c>
      <c r="G349" s="240"/>
      <c r="H349" s="240"/>
      <c r="I349" s="240"/>
    </row>
    <row r="350" spans="6:9" ht="15">
      <c r="F350" s="240"/>
      <c r="G350" s="240"/>
      <c r="H350" s="240"/>
      <c r="I350" s="240"/>
    </row>
    <row r="351" spans="6:9" ht="15">
      <c r="F351" s="240"/>
      <c r="G351" s="240"/>
      <c r="H351" s="240"/>
      <c r="I351" s="240"/>
    </row>
    <row r="354" ht="15">
      <c r="I354" s="93"/>
    </row>
  </sheetData>
  <sheetProtection/>
  <mergeCells count="74">
    <mergeCell ref="E54:F54"/>
    <mergeCell ref="E52:F52"/>
    <mergeCell ref="E55:F55"/>
    <mergeCell ref="A8:B8"/>
    <mergeCell ref="A9:B9"/>
    <mergeCell ref="A10:B10"/>
    <mergeCell ref="E24:F24"/>
    <mergeCell ref="B25:B26"/>
    <mergeCell ref="C25:C26"/>
    <mergeCell ref="D25:D26"/>
    <mergeCell ref="E25:E26"/>
    <mergeCell ref="F25:F26"/>
    <mergeCell ref="A1:F1"/>
    <mergeCell ref="A2:F2"/>
    <mergeCell ref="A3:F3"/>
    <mergeCell ref="A4:F4"/>
    <mergeCell ref="A5:F5"/>
    <mergeCell ref="E7:F7"/>
    <mergeCell ref="G346:H346"/>
    <mergeCell ref="F349:I349"/>
    <mergeCell ref="F350:I350"/>
    <mergeCell ref="F351:I351"/>
    <mergeCell ref="B301:B302"/>
    <mergeCell ref="C301:H302"/>
    <mergeCell ref="B316:E316"/>
    <mergeCell ref="B319:B320"/>
    <mergeCell ref="C319:H320"/>
    <mergeCell ref="B343:E343"/>
    <mergeCell ref="A267:I267"/>
    <mergeCell ref="A289:C289"/>
    <mergeCell ref="A290:C290"/>
    <mergeCell ref="G293:H293"/>
    <mergeCell ref="F296:I296"/>
    <mergeCell ref="A298:I298"/>
    <mergeCell ref="A155:I155"/>
    <mergeCell ref="A176:C176"/>
    <mergeCell ref="A177:I177"/>
    <mergeCell ref="A201:C201"/>
    <mergeCell ref="A299:I299"/>
    <mergeCell ref="A258:C258"/>
    <mergeCell ref="A259:I259"/>
    <mergeCell ref="A262:C262"/>
    <mergeCell ref="A263:I263"/>
    <mergeCell ref="A266:C266"/>
    <mergeCell ref="A109:I109"/>
    <mergeCell ref="A121:C121"/>
    <mergeCell ref="A202:I202"/>
    <mergeCell ref="A126:C126"/>
    <mergeCell ref="A127:I127"/>
    <mergeCell ref="A129:C129"/>
    <mergeCell ref="A130:I130"/>
    <mergeCell ref="A132:C132"/>
    <mergeCell ref="A133:I133"/>
    <mergeCell ref="A154:C154"/>
    <mergeCell ref="A122:I122"/>
    <mergeCell ref="G69:H69"/>
    <mergeCell ref="A71:I71"/>
    <mergeCell ref="A74:C74"/>
    <mergeCell ref="A75:I75"/>
    <mergeCell ref="A77:C77"/>
    <mergeCell ref="A78:I78"/>
    <mergeCell ref="A86:C86"/>
    <mergeCell ref="A87:I87"/>
    <mergeCell ref="A108:C108"/>
    <mergeCell ref="A64:I64"/>
    <mergeCell ref="A65:I65"/>
    <mergeCell ref="A66:I66"/>
    <mergeCell ref="A68:A70"/>
    <mergeCell ref="B68:C70"/>
    <mergeCell ref="D68:E68"/>
    <mergeCell ref="F68:F70"/>
    <mergeCell ref="G68:H68"/>
    <mergeCell ref="I68:I70"/>
    <mergeCell ref="D69:E69"/>
  </mergeCells>
  <printOptions/>
  <pageMargins left="0.39" right="0.37" top="0.75" bottom="0.75" header="0.3" footer="0.3"/>
  <pageSetup orientation="portrait" paperSize="5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7"/>
  <sheetViews>
    <sheetView zoomScalePageLayoutView="0" workbookViewId="0" topLeftCell="A297">
      <selection activeCell="B13" sqref="B13:B18"/>
    </sheetView>
  </sheetViews>
  <sheetFormatPr defaultColWidth="11.00390625" defaultRowHeight="15"/>
  <cols>
    <col min="1" max="1" width="5.421875" style="0" bestFit="1" customWidth="1"/>
    <col min="2" max="2" width="4.28125" style="0" bestFit="1" customWidth="1"/>
    <col min="3" max="3" width="33.421875" style="0" customWidth="1"/>
    <col min="4" max="4" width="18.7109375" style="0" customWidth="1"/>
    <col min="5" max="6" width="20.7109375" style="0" customWidth="1"/>
    <col min="7" max="8" width="16.7109375" style="0" customWidth="1"/>
    <col min="9" max="9" width="17.7109375" style="0" customWidth="1"/>
    <col min="10" max="10" width="14.7109375" style="0" customWidth="1"/>
    <col min="11" max="11" width="12.5742187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791</v>
      </c>
      <c r="F7" s="259"/>
    </row>
    <row r="8" spans="1:6" ht="18.75">
      <c r="A8" s="246" t="s">
        <v>748</v>
      </c>
      <c r="B8" s="246"/>
      <c r="C8" s="136" t="s">
        <v>872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136"/>
      <c r="F20" s="136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869</v>
      </c>
      <c r="C22" s="135"/>
      <c r="D22" s="135"/>
      <c r="E22" s="135"/>
      <c r="F22" s="137"/>
    </row>
    <row r="23" spans="2:6" ht="18.75">
      <c r="B23" s="135" t="s">
        <v>792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793</v>
      </c>
      <c r="D29" s="147"/>
      <c r="E29" s="147"/>
      <c r="F29" s="148">
        <f>'[1]Feb2'!F28</f>
        <v>1896452740</v>
      </c>
    </row>
    <row r="30" spans="1:6" ht="18.75">
      <c r="A30" s="140"/>
      <c r="B30" s="145"/>
      <c r="C30" s="146" t="s">
        <v>794</v>
      </c>
      <c r="D30" s="198">
        <v>133152657</v>
      </c>
      <c r="E30" s="150"/>
      <c r="F30" s="147"/>
    </row>
    <row r="31" spans="1:6" ht="18.75">
      <c r="A31" s="140"/>
      <c r="B31" s="145"/>
      <c r="C31" s="146" t="s">
        <v>795</v>
      </c>
      <c r="D31" s="147"/>
      <c r="E31" s="151">
        <v>34310900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1995294497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793</v>
      </c>
      <c r="D34" s="157"/>
      <c r="E34" s="158"/>
      <c r="F34" s="157">
        <f>'[1]feb'!F33</f>
        <v>2675000</v>
      </c>
    </row>
    <row r="35" spans="1:6" ht="18.75">
      <c r="A35" s="140"/>
      <c r="B35" s="145"/>
      <c r="C35" s="146" t="s">
        <v>794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795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133152657</v>
      </c>
      <c r="E38" s="160">
        <f>E31+E36</f>
        <v>34310900</v>
      </c>
      <c r="F38" s="161">
        <f>F32+F37</f>
        <v>1997969497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793</v>
      </c>
      <c r="D41" s="147"/>
      <c r="E41" s="166"/>
      <c r="F41" s="160">
        <f>'[1]Feb2'!F40</f>
        <v>1176498770</v>
      </c>
    </row>
    <row r="42" spans="1:6" ht="18.75">
      <c r="A42" s="167"/>
      <c r="B42" s="145"/>
      <c r="C42" s="146" t="s">
        <v>794</v>
      </c>
      <c r="D42" s="197">
        <v>44942183</v>
      </c>
      <c r="E42" s="168"/>
      <c r="F42" s="166"/>
    </row>
    <row r="43" spans="1:6" ht="18.75">
      <c r="A43" s="140"/>
      <c r="B43" s="145"/>
      <c r="C43" s="146" t="s">
        <v>795</v>
      </c>
      <c r="D43" s="150"/>
      <c r="E43" s="169">
        <v>29157624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1192283329</v>
      </c>
    </row>
    <row r="45" spans="1:6" ht="18.75">
      <c r="A45" s="140"/>
      <c r="B45" s="145"/>
      <c r="C45" s="171" t="s">
        <v>796</v>
      </c>
      <c r="D45" s="172">
        <f>D30+D42</f>
        <v>178094840</v>
      </c>
      <c r="E45" s="172">
        <f>E31+E43</f>
        <v>63468524</v>
      </c>
      <c r="F45" s="173">
        <f>F38+F44</f>
        <v>3190252826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79"/>
    </row>
    <row r="49" spans="1:6" ht="18.75">
      <c r="A49" s="175"/>
      <c r="B49" s="176" t="s">
        <v>773</v>
      </c>
      <c r="C49" s="137"/>
      <c r="D49" s="177"/>
      <c r="E49" s="137"/>
      <c r="F49" s="180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71" t="s">
        <v>866</v>
      </c>
      <c r="F54" s="271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3" spans="1:9" ht="22.5">
      <c r="A63" s="206" t="s">
        <v>0</v>
      </c>
      <c r="B63" s="206"/>
      <c r="C63" s="206"/>
      <c r="D63" s="206"/>
      <c r="E63" s="206"/>
      <c r="F63" s="206"/>
      <c r="G63" s="206"/>
      <c r="H63" s="206"/>
      <c r="I63" s="206"/>
    </row>
    <row r="64" spans="1:9" ht="22.5">
      <c r="A64" s="206" t="s">
        <v>1</v>
      </c>
      <c r="B64" s="206"/>
      <c r="C64" s="206"/>
      <c r="D64" s="206"/>
      <c r="E64" s="206"/>
      <c r="F64" s="206"/>
      <c r="G64" s="206"/>
      <c r="H64" s="206"/>
      <c r="I64" s="206"/>
    </row>
    <row r="65" spans="1:9" ht="20.25">
      <c r="A65" s="207" t="s">
        <v>303</v>
      </c>
      <c r="B65" s="207"/>
      <c r="C65" s="207"/>
      <c r="D65" s="207"/>
      <c r="E65" s="207"/>
      <c r="F65" s="207"/>
      <c r="G65" s="207"/>
      <c r="H65" s="207"/>
      <c r="I65" s="207"/>
    </row>
    <row r="66" spans="1:9" ht="15.75" thickBot="1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Top="1">
      <c r="A67" s="208" t="s">
        <v>2</v>
      </c>
      <c r="B67" s="211" t="s">
        <v>3</v>
      </c>
      <c r="C67" s="267"/>
      <c r="D67" s="217" t="s">
        <v>4</v>
      </c>
      <c r="E67" s="218"/>
      <c r="F67" s="219" t="s">
        <v>5</v>
      </c>
      <c r="G67" s="217" t="s">
        <v>4</v>
      </c>
      <c r="H67" s="218"/>
      <c r="I67" s="219" t="s">
        <v>5</v>
      </c>
    </row>
    <row r="68" spans="1:9" ht="15">
      <c r="A68" s="209"/>
      <c r="B68" s="213"/>
      <c r="C68" s="268"/>
      <c r="D68" s="222" t="s">
        <v>236</v>
      </c>
      <c r="E68" s="223"/>
      <c r="F68" s="220"/>
      <c r="G68" s="222" t="s">
        <v>304</v>
      </c>
      <c r="H68" s="223"/>
      <c r="I68" s="220"/>
    </row>
    <row r="69" spans="1:12" ht="15">
      <c r="A69" s="210"/>
      <c r="B69" s="215"/>
      <c r="C69" s="269"/>
      <c r="D69" s="2" t="s">
        <v>6</v>
      </c>
      <c r="E69" s="2" t="s">
        <v>7</v>
      </c>
      <c r="F69" s="221"/>
      <c r="G69" s="2" t="s">
        <v>6</v>
      </c>
      <c r="H69" s="2" t="s">
        <v>7</v>
      </c>
      <c r="I69" s="221"/>
      <c r="L69" t="s">
        <v>198</v>
      </c>
    </row>
    <row r="70" spans="1:9" ht="15">
      <c r="A70" s="230" t="s">
        <v>8</v>
      </c>
      <c r="B70" s="231"/>
      <c r="C70" s="231"/>
      <c r="D70" s="231"/>
      <c r="E70" s="231"/>
      <c r="F70" s="231"/>
      <c r="G70" s="231"/>
      <c r="H70" s="231"/>
      <c r="I70" s="232"/>
    </row>
    <row r="71" spans="1:9" ht="15">
      <c r="A71" s="80">
        <v>1</v>
      </c>
      <c r="B71" s="3">
        <v>1</v>
      </c>
      <c r="C71" s="4" t="s">
        <v>9</v>
      </c>
      <c r="D71" s="5"/>
      <c r="E71" s="5"/>
      <c r="F71" s="6">
        <f>SUM(D71:E71)</f>
        <v>0</v>
      </c>
      <c r="G71" s="5"/>
      <c r="H71" s="5">
        <v>5000000</v>
      </c>
      <c r="I71" s="6">
        <f>SUM(G71:H71)</f>
        <v>5000000</v>
      </c>
    </row>
    <row r="72" spans="1:9" ht="15">
      <c r="A72" s="80">
        <v>2</v>
      </c>
      <c r="B72" s="3">
        <v>2</v>
      </c>
      <c r="C72" s="4" t="s">
        <v>10</v>
      </c>
      <c r="D72" s="5"/>
      <c r="E72" s="5"/>
      <c r="F72" s="6">
        <f>SUM(D72:E72)</f>
        <v>0</v>
      </c>
      <c r="G72" s="5"/>
      <c r="H72" s="5"/>
      <c r="I72" s="6">
        <f>SUM(G72:H72)</f>
        <v>0</v>
      </c>
    </row>
    <row r="73" spans="1:9" ht="15">
      <c r="A73" s="224" t="s">
        <v>5</v>
      </c>
      <c r="B73" s="225"/>
      <c r="C73" s="225"/>
      <c r="D73" s="7">
        <f>SUM(D71:D72)</f>
        <v>0</v>
      </c>
      <c r="E73" s="8">
        <f>SUM(E71:E72)</f>
        <v>0</v>
      </c>
      <c r="F73" s="7">
        <f>SUM(D73:E73)</f>
        <v>0</v>
      </c>
      <c r="G73" s="7">
        <f>SUM(G71:G72)</f>
        <v>0</v>
      </c>
      <c r="H73" s="8">
        <f>SUM(H71:H72)</f>
        <v>5000000</v>
      </c>
      <c r="I73" s="7">
        <f>SUM(G73:H73)</f>
        <v>5000000</v>
      </c>
    </row>
    <row r="74" spans="1:9" ht="15">
      <c r="A74" s="227" t="s">
        <v>11</v>
      </c>
      <c r="B74" s="228"/>
      <c r="C74" s="228"/>
      <c r="D74" s="228"/>
      <c r="E74" s="228"/>
      <c r="F74" s="228"/>
      <c r="G74" s="228"/>
      <c r="H74" s="228"/>
      <c r="I74" s="229"/>
    </row>
    <row r="75" spans="1:9" ht="15">
      <c r="A75" s="9">
        <v>3</v>
      </c>
      <c r="B75" s="9">
        <v>1</v>
      </c>
      <c r="C75" s="10" t="s">
        <v>12</v>
      </c>
      <c r="D75" s="5">
        <v>2170089</v>
      </c>
      <c r="E75" s="5"/>
      <c r="F75" s="6">
        <f>SUM(D75:E75)</f>
        <v>2170089</v>
      </c>
      <c r="G75" s="5">
        <v>2100089</v>
      </c>
      <c r="H75" s="5"/>
      <c r="I75" s="6">
        <f>SUM(G75:H75)</f>
        <v>2100089</v>
      </c>
    </row>
    <row r="76" spans="1:9" ht="15">
      <c r="A76" s="224" t="s">
        <v>5</v>
      </c>
      <c r="B76" s="225"/>
      <c r="C76" s="225"/>
      <c r="D76" s="7">
        <f>SUM(D74:D75)</f>
        <v>2170089</v>
      </c>
      <c r="E76" s="8">
        <f>SUM(E74:E75)</f>
        <v>0</v>
      </c>
      <c r="F76" s="7">
        <f>SUM(D76:E76)</f>
        <v>2170089</v>
      </c>
      <c r="G76" s="7">
        <f>SUM(G74:G75)</f>
        <v>2100089</v>
      </c>
      <c r="H76" s="8">
        <f>SUM(H74:H75)</f>
        <v>0</v>
      </c>
      <c r="I76" s="7">
        <f>SUM(G76:H76)</f>
        <v>2100089</v>
      </c>
    </row>
    <row r="77" spans="1:9" ht="15">
      <c r="A77" s="224" t="s">
        <v>13</v>
      </c>
      <c r="B77" s="225"/>
      <c r="C77" s="225"/>
      <c r="D77" s="225"/>
      <c r="E77" s="225"/>
      <c r="F77" s="225"/>
      <c r="G77" s="225"/>
      <c r="H77" s="225"/>
      <c r="I77" s="226"/>
    </row>
    <row r="78" spans="1:9" ht="15">
      <c r="A78" s="11">
        <v>4</v>
      </c>
      <c r="B78" s="12">
        <v>1</v>
      </c>
      <c r="C78" s="95" t="s">
        <v>312</v>
      </c>
      <c r="D78" s="5">
        <v>2441800</v>
      </c>
      <c r="E78" s="5">
        <v>449000</v>
      </c>
      <c r="F78" s="6">
        <f aca="true" t="shared" si="0" ref="F78:F86">SUM(D78:E78)</f>
        <v>2890800</v>
      </c>
      <c r="G78" s="5">
        <v>2345000</v>
      </c>
      <c r="H78" s="5">
        <v>509000</v>
      </c>
      <c r="I78" s="6">
        <f aca="true" t="shared" si="1" ref="I78:I85">SUM(G78:H78)</f>
        <v>2854000</v>
      </c>
    </row>
    <row r="79" spans="1:9" ht="15">
      <c r="A79" s="11">
        <v>5</v>
      </c>
      <c r="B79" s="12">
        <v>2</v>
      </c>
      <c r="C79" s="13" t="s">
        <v>234</v>
      </c>
      <c r="D79" s="5">
        <v>1339656</v>
      </c>
      <c r="E79" s="5">
        <v>180550</v>
      </c>
      <c r="F79" s="6">
        <f t="shared" si="0"/>
        <v>1520206</v>
      </c>
      <c r="G79" s="5">
        <v>1520727</v>
      </c>
      <c r="H79" s="5">
        <v>220550</v>
      </c>
      <c r="I79" s="6">
        <f t="shared" si="1"/>
        <v>1741277</v>
      </c>
    </row>
    <row r="80" spans="1:9" ht="15">
      <c r="A80" s="11">
        <v>6</v>
      </c>
      <c r="B80" s="12">
        <v>3</v>
      </c>
      <c r="C80" s="13" t="s">
        <v>15</v>
      </c>
      <c r="D80" s="5">
        <v>2595700</v>
      </c>
      <c r="E80" s="14">
        <v>264300</v>
      </c>
      <c r="F80" s="6">
        <f t="shared" si="0"/>
        <v>2860000</v>
      </c>
      <c r="G80" s="5">
        <v>2516450</v>
      </c>
      <c r="H80" s="14">
        <v>259300</v>
      </c>
      <c r="I80" s="6">
        <f t="shared" si="1"/>
        <v>2775750</v>
      </c>
    </row>
    <row r="81" spans="1:9" ht="15">
      <c r="A81" s="11">
        <v>7</v>
      </c>
      <c r="B81" s="12">
        <v>4</v>
      </c>
      <c r="C81" s="13" t="s">
        <v>16</v>
      </c>
      <c r="D81" s="5"/>
      <c r="E81" s="5"/>
      <c r="F81" s="6">
        <f t="shared" si="0"/>
        <v>0</v>
      </c>
      <c r="G81" s="5"/>
      <c r="H81" s="5"/>
      <c r="I81" s="6">
        <f t="shared" si="1"/>
        <v>0</v>
      </c>
    </row>
    <row r="82" spans="1:9" ht="15">
      <c r="A82" s="11">
        <v>8</v>
      </c>
      <c r="B82" s="12">
        <v>5</v>
      </c>
      <c r="C82" s="13" t="s">
        <v>17</v>
      </c>
      <c r="D82" s="5"/>
      <c r="E82" s="5"/>
      <c r="F82" s="6">
        <f t="shared" si="0"/>
        <v>0</v>
      </c>
      <c r="G82" s="5"/>
      <c r="H82" s="5"/>
      <c r="I82" s="6">
        <f t="shared" si="1"/>
        <v>0</v>
      </c>
    </row>
    <row r="83" spans="1:9" ht="15">
      <c r="A83" s="11">
        <v>9</v>
      </c>
      <c r="B83" s="12">
        <v>6</v>
      </c>
      <c r="C83" s="13" t="s">
        <v>18</v>
      </c>
      <c r="D83" s="5"/>
      <c r="E83" s="5"/>
      <c r="F83" s="6">
        <f t="shared" si="0"/>
        <v>0</v>
      </c>
      <c r="G83" s="5"/>
      <c r="H83" s="5"/>
      <c r="I83" s="6">
        <f t="shared" si="1"/>
        <v>0</v>
      </c>
    </row>
    <row r="84" spans="1:9" ht="15">
      <c r="A84" s="11">
        <v>10</v>
      </c>
      <c r="B84" s="12">
        <v>7</v>
      </c>
      <c r="C84" s="15" t="s">
        <v>19</v>
      </c>
      <c r="D84" s="5">
        <v>226610</v>
      </c>
      <c r="E84" s="5">
        <v>63000</v>
      </c>
      <c r="F84" s="6">
        <f t="shared" si="0"/>
        <v>289610</v>
      </c>
      <c r="G84" s="5">
        <v>226610</v>
      </c>
      <c r="H84" s="5">
        <v>63000</v>
      </c>
      <c r="I84" s="6">
        <f t="shared" si="1"/>
        <v>289610</v>
      </c>
    </row>
    <row r="85" spans="1:9" ht="15">
      <c r="A85" s="90">
        <v>11</v>
      </c>
      <c r="B85" s="12">
        <v>8</v>
      </c>
      <c r="C85" s="13" t="s">
        <v>307</v>
      </c>
      <c r="D85" s="5">
        <v>2336024</v>
      </c>
      <c r="E85" s="5">
        <v>357000</v>
      </c>
      <c r="F85" s="6">
        <f t="shared" si="0"/>
        <v>2693024</v>
      </c>
      <c r="G85" s="5">
        <v>2347621</v>
      </c>
      <c r="H85" s="5">
        <v>365000</v>
      </c>
      <c r="I85" s="6">
        <f t="shared" si="1"/>
        <v>2712621</v>
      </c>
    </row>
    <row r="86" spans="1:11" ht="15">
      <c r="A86" s="224" t="s">
        <v>5</v>
      </c>
      <c r="B86" s="225"/>
      <c r="C86" s="225"/>
      <c r="D86" s="7">
        <f>SUM(D78:D85)</f>
        <v>8939790</v>
      </c>
      <c r="E86" s="7">
        <f>SUM(E78:E85)</f>
        <v>1313850</v>
      </c>
      <c r="F86" s="7">
        <f t="shared" si="0"/>
        <v>10253640</v>
      </c>
      <c r="G86" s="7">
        <f>SUM(G78:G85)</f>
        <v>8956408</v>
      </c>
      <c r="H86" s="7">
        <f>SUM(H78:H85)</f>
        <v>1416850</v>
      </c>
      <c r="I86" s="7">
        <f>SUM(G86:H86)</f>
        <v>10373258</v>
      </c>
      <c r="K86" s="16"/>
    </row>
    <row r="87" spans="1:9" ht="15">
      <c r="A87" s="224" t="s">
        <v>20</v>
      </c>
      <c r="B87" s="225"/>
      <c r="C87" s="225"/>
      <c r="D87" s="225"/>
      <c r="E87" s="225"/>
      <c r="F87" s="225"/>
      <c r="G87" s="225"/>
      <c r="H87" s="225"/>
      <c r="I87" s="226"/>
    </row>
    <row r="88" spans="1:9" ht="15">
      <c r="A88" s="17">
        <v>12</v>
      </c>
      <c r="B88" s="15">
        <v>1</v>
      </c>
      <c r="C88" s="13" t="s">
        <v>255</v>
      </c>
      <c r="D88" s="5"/>
      <c r="E88" s="18"/>
      <c r="F88" s="6">
        <f>SUM(D88:E88)</f>
        <v>0</v>
      </c>
      <c r="G88" s="5">
        <v>2356415</v>
      </c>
      <c r="H88" s="18">
        <v>1380215</v>
      </c>
      <c r="I88" s="6">
        <f>SUM(G88:H88)</f>
        <v>3736630</v>
      </c>
    </row>
    <row r="89" spans="1:9" ht="15">
      <c r="A89" s="17">
        <v>13</v>
      </c>
      <c r="B89" s="15">
        <v>2</v>
      </c>
      <c r="C89" s="13" t="s">
        <v>21</v>
      </c>
      <c r="D89" s="5">
        <v>3822683</v>
      </c>
      <c r="E89" s="5">
        <v>5070000</v>
      </c>
      <c r="F89" s="6">
        <f aca="true" t="shared" si="2" ref="F89:F100">SUM(D89:E89)</f>
        <v>8892683</v>
      </c>
      <c r="G89" s="5">
        <v>3830610</v>
      </c>
      <c r="H89" s="5">
        <v>5060000</v>
      </c>
      <c r="I89" s="6">
        <f aca="true" t="shared" si="3" ref="I89:I107">SUM(G89:H89)</f>
        <v>8890610</v>
      </c>
    </row>
    <row r="90" spans="1:9" ht="15">
      <c r="A90" s="17">
        <v>14</v>
      </c>
      <c r="B90" s="15">
        <v>3</v>
      </c>
      <c r="C90" s="13" t="s">
        <v>22</v>
      </c>
      <c r="D90" s="5">
        <v>2409850</v>
      </c>
      <c r="E90" s="5">
        <v>666000</v>
      </c>
      <c r="F90" s="6">
        <f t="shared" si="2"/>
        <v>3075850</v>
      </c>
      <c r="G90" s="5">
        <v>2162750</v>
      </c>
      <c r="H90" s="5">
        <v>595000</v>
      </c>
      <c r="I90" s="6">
        <f t="shared" si="3"/>
        <v>2757750</v>
      </c>
    </row>
    <row r="91" spans="1:9" ht="15">
      <c r="A91" s="17">
        <v>15</v>
      </c>
      <c r="B91" s="15">
        <v>4</v>
      </c>
      <c r="C91" s="13" t="s">
        <v>253</v>
      </c>
      <c r="D91" s="5">
        <v>756486</v>
      </c>
      <c r="E91" s="5">
        <v>788785</v>
      </c>
      <c r="F91" s="6">
        <f t="shared" si="2"/>
        <v>1545271</v>
      </c>
      <c r="G91" s="5">
        <v>675786</v>
      </c>
      <c r="H91" s="5">
        <v>763785</v>
      </c>
      <c r="I91" s="6">
        <f t="shared" si="3"/>
        <v>1439571</v>
      </c>
    </row>
    <row r="92" spans="1:9" ht="15">
      <c r="A92" s="17">
        <v>16</v>
      </c>
      <c r="B92" s="15">
        <v>5</v>
      </c>
      <c r="C92" s="13" t="s">
        <v>24</v>
      </c>
      <c r="D92" s="5">
        <v>2320200</v>
      </c>
      <c r="E92" s="5">
        <v>90000</v>
      </c>
      <c r="F92" s="6">
        <f t="shared" si="2"/>
        <v>2410200</v>
      </c>
      <c r="G92" s="5">
        <v>2503700</v>
      </c>
      <c r="H92" s="5">
        <v>90000</v>
      </c>
      <c r="I92" s="6">
        <f t="shared" si="3"/>
        <v>2593700</v>
      </c>
    </row>
    <row r="93" spans="1:9" ht="15">
      <c r="A93" s="17">
        <v>17</v>
      </c>
      <c r="B93" s="15">
        <v>6</v>
      </c>
      <c r="C93" s="13" t="s">
        <v>25</v>
      </c>
      <c r="D93" s="5">
        <v>1730700</v>
      </c>
      <c r="E93" s="5">
        <v>705000</v>
      </c>
      <c r="F93" s="6">
        <f t="shared" si="2"/>
        <v>2435700</v>
      </c>
      <c r="G93" s="5">
        <v>2040000</v>
      </c>
      <c r="H93" s="5">
        <v>476000</v>
      </c>
      <c r="I93" s="6">
        <f t="shared" si="3"/>
        <v>2516000</v>
      </c>
    </row>
    <row r="94" spans="1:9" ht="15">
      <c r="A94" s="17">
        <v>18</v>
      </c>
      <c r="B94" s="15">
        <v>7</v>
      </c>
      <c r="C94" s="95" t="s">
        <v>26</v>
      </c>
      <c r="D94" s="5">
        <v>4022000</v>
      </c>
      <c r="E94" s="5">
        <v>182500</v>
      </c>
      <c r="F94" s="6">
        <f t="shared" si="2"/>
        <v>4204500</v>
      </c>
      <c r="G94" s="5">
        <v>3891800</v>
      </c>
      <c r="H94" s="5">
        <v>182500</v>
      </c>
      <c r="I94" s="6">
        <f t="shared" si="3"/>
        <v>4074300</v>
      </c>
    </row>
    <row r="95" spans="1:9" ht="15">
      <c r="A95" s="17">
        <v>19</v>
      </c>
      <c r="B95" s="15">
        <v>8</v>
      </c>
      <c r="C95" s="95" t="s">
        <v>242</v>
      </c>
      <c r="D95" s="5">
        <v>3563700</v>
      </c>
      <c r="E95" s="5"/>
      <c r="F95" s="6">
        <f t="shared" si="2"/>
        <v>3563700</v>
      </c>
      <c r="G95" s="5">
        <v>3819400</v>
      </c>
      <c r="H95" s="5"/>
      <c r="I95" s="6">
        <f t="shared" si="3"/>
        <v>3819400</v>
      </c>
    </row>
    <row r="96" spans="1:9" ht="15">
      <c r="A96" s="17">
        <v>20</v>
      </c>
      <c r="B96" s="15">
        <v>9</v>
      </c>
      <c r="C96" s="95" t="s">
        <v>28</v>
      </c>
      <c r="D96" s="5"/>
      <c r="E96" s="5"/>
      <c r="F96" s="6">
        <f t="shared" si="2"/>
        <v>0</v>
      </c>
      <c r="G96" s="5">
        <f>860000+860000</f>
        <v>1720000</v>
      </c>
      <c r="H96" s="5">
        <f>152000*2</f>
        <v>304000</v>
      </c>
      <c r="I96" s="6">
        <f t="shared" si="3"/>
        <v>2024000</v>
      </c>
    </row>
    <row r="97" spans="1:9" ht="15">
      <c r="A97" s="17">
        <v>21</v>
      </c>
      <c r="B97" s="15">
        <v>10</v>
      </c>
      <c r="C97" s="95" t="s">
        <v>203</v>
      </c>
      <c r="D97" s="5">
        <v>2691295</v>
      </c>
      <c r="E97" s="5">
        <v>1445000</v>
      </c>
      <c r="F97" s="6">
        <f t="shared" si="2"/>
        <v>4136295</v>
      </c>
      <c r="G97" s="5">
        <v>2770676</v>
      </c>
      <c r="H97" s="5">
        <v>1465000</v>
      </c>
      <c r="I97" s="6">
        <f t="shared" si="3"/>
        <v>4235676</v>
      </c>
    </row>
    <row r="98" spans="1:9" ht="15">
      <c r="A98" s="17">
        <v>22</v>
      </c>
      <c r="B98" s="15">
        <v>11</v>
      </c>
      <c r="C98" s="95" t="s">
        <v>244</v>
      </c>
      <c r="D98" s="5">
        <f>2219688+1411875</f>
        <v>3631563</v>
      </c>
      <c r="E98" s="5">
        <f>1411215+384133</f>
        <v>1795348</v>
      </c>
      <c r="F98" s="6">
        <f t="shared" si="2"/>
        <v>5426911</v>
      </c>
      <c r="G98" s="5">
        <v>1411875</v>
      </c>
      <c r="H98" s="5">
        <v>384133</v>
      </c>
      <c r="I98" s="6">
        <f t="shared" si="3"/>
        <v>1796008</v>
      </c>
    </row>
    <row r="99" spans="1:9" ht="15">
      <c r="A99" s="17">
        <v>23</v>
      </c>
      <c r="B99" s="15">
        <v>12</v>
      </c>
      <c r="C99" s="95" t="s">
        <v>31</v>
      </c>
      <c r="D99" s="5">
        <v>1393000</v>
      </c>
      <c r="E99" s="18">
        <v>330000</v>
      </c>
      <c r="F99" s="6">
        <f t="shared" si="2"/>
        <v>1723000</v>
      </c>
      <c r="G99" s="5">
        <v>1330000</v>
      </c>
      <c r="H99" s="18">
        <v>330000</v>
      </c>
      <c r="I99" s="6">
        <f t="shared" si="3"/>
        <v>1660000</v>
      </c>
    </row>
    <row r="100" spans="1:9" ht="15">
      <c r="A100" s="17">
        <v>24</v>
      </c>
      <c r="B100" s="15">
        <v>13</v>
      </c>
      <c r="C100" s="95" t="s">
        <v>32</v>
      </c>
      <c r="D100" s="5"/>
      <c r="E100" s="5"/>
      <c r="F100" s="6">
        <f t="shared" si="2"/>
        <v>0</v>
      </c>
      <c r="G100" s="5"/>
      <c r="H100" s="5"/>
      <c r="I100" s="6">
        <f t="shared" si="3"/>
        <v>0</v>
      </c>
    </row>
    <row r="101" spans="1:9" ht="15">
      <c r="A101" s="17">
        <v>25</v>
      </c>
      <c r="B101" s="15">
        <v>14</v>
      </c>
      <c r="C101" s="95" t="s">
        <v>229</v>
      </c>
      <c r="D101" s="5"/>
      <c r="E101" s="5"/>
      <c r="F101" s="6">
        <f aca="true" t="shared" si="4" ref="F101:F106">SUM(D101:E101)</f>
        <v>0</v>
      </c>
      <c r="G101" s="5"/>
      <c r="H101" s="5"/>
      <c r="I101" s="6">
        <f t="shared" si="3"/>
        <v>0</v>
      </c>
    </row>
    <row r="102" spans="1:9" ht="15">
      <c r="A102" s="17">
        <v>26</v>
      </c>
      <c r="B102" s="15">
        <v>15</v>
      </c>
      <c r="C102" s="95" t="s">
        <v>230</v>
      </c>
      <c r="D102" s="5">
        <v>1078500</v>
      </c>
      <c r="E102" s="5">
        <v>1815100</v>
      </c>
      <c r="F102" s="6">
        <f t="shared" si="4"/>
        <v>2893600</v>
      </c>
      <c r="G102" s="5">
        <v>865000</v>
      </c>
      <c r="H102" s="5">
        <v>1699100</v>
      </c>
      <c r="I102" s="6">
        <f t="shared" si="3"/>
        <v>2564100</v>
      </c>
    </row>
    <row r="103" spans="1:9" ht="15">
      <c r="A103" s="17">
        <v>27</v>
      </c>
      <c r="B103" s="15">
        <v>16</v>
      </c>
      <c r="C103" s="95" t="s">
        <v>252</v>
      </c>
      <c r="D103" s="5">
        <v>1205353</v>
      </c>
      <c r="E103" s="5">
        <v>25000</v>
      </c>
      <c r="F103" s="6">
        <f t="shared" si="4"/>
        <v>1230353</v>
      </c>
      <c r="G103" s="5">
        <v>1303418</v>
      </c>
      <c r="H103" s="5">
        <v>25000</v>
      </c>
      <c r="I103" s="6">
        <f t="shared" si="3"/>
        <v>1328418</v>
      </c>
    </row>
    <row r="104" spans="1:9" ht="15">
      <c r="A104" s="17">
        <v>28</v>
      </c>
      <c r="B104" s="15">
        <v>17</v>
      </c>
      <c r="C104" s="95" t="s">
        <v>233</v>
      </c>
      <c r="D104" s="5"/>
      <c r="E104" s="5"/>
      <c r="F104" s="6">
        <f t="shared" si="4"/>
        <v>0</v>
      </c>
      <c r="G104" s="5">
        <f>613000+420000+420000</f>
        <v>1453000</v>
      </c>
      <c r="H104" s="5">
        <f>555000+525000+525000</f>
        <v>1605000</v>
      </c>
      <c r="I104" s="6">
        <f t="shared" si="3"/>
        <v>3058000</v>
      </c>
    </row>
    <row r="105" spans="1:9" ht="15">
      <c r="A105" s="17">
        <v>29</v>
      </c>
      <c r="B105" s="15">
        <v>18</v>
      </c>
      <c r="C105" s="96" t="s">
        <v>240</v>
      </c>
      <c r="D105" s="5">
        <v>3126750</v>
      </c>
      <c r="E105" s="5"/>
      <c r="F105" s="6">
        <f t="shared" si="4"/>
        <v>3126750</v>
      </c>
      <c r="G105" s="5">
        <v>3281550</v>
      </c>
      <c r="H105" s="5"/>
      <c r="I105" s="6">
        <f t="shared" si="3"/>
        <v>3281550</v>
      </c>
    </row>
    <row r="106" spans="1:9" ht="15">
      <c r="A106" s="17">
        <v>30</v>
      </c>
      <c r="B106" s="15">
        <v>19</v>
      </c>
      <c r="C106" s="96" t="s">
        <v>243</v>
      </c>
      <c r="D106" s="5">
        <v>480665</v>
      </c>
      <c r="E106" s="5">
        <v>764450</v>
      </c>
      <c r="F106" s="6">
        <f t="shared" si="4"/>
        <v>1245115</v>
      </c>
      <c r="G106" s="5">
        <v>482855</v>
      </c>
      <c r="H106" s="5">
        <v>773450</v>
      </c>
      <c r="I106" s="6">
        <f t="shared" si="3"/>
        <v>1256305</v>
      </c>
    </row>
    <row r="107" spans="1:9" ht="15">
      <c r="A107" s="17">
        <v>31</v>
      </c>
      <c r="B107" s="15">
        <v>20</v>
      </c>
      <c r="C107" s="96" t="s">
        <v>311</v>
      </c>
      <c r="D107" s="5"/>
      <c r="E107" s="5"/>
      <c r="F107" s="6"/>
      <c r="G107" s="5">
        <v>769228</v>
      </c>
      <c r="H107" s="5">
        <v>116000</v>
      </c>
      <c r="I107" s="6">
        <f t="shared" si="3"/>
        <v>885228</v>
      </c>
    </row>
    <row r="108" spans="1:9" ht="15">
      <c r="A108" s="224" t="s">
        <v>5</v>
      </c>
      <c r="B108" s="225"/>
      <c r="C108" s="225"/>
      <c r="D108" s="7">
        <f>SUM(D88:D107)</f>
        <v>32232745</v>
      </c>
      <c r="E108" s="7">
        <f>SUM(E88:E107)</f>
        <v>13677183</v>
      </c>
      <c r="F108" s="7">
        <f>SUM(D108:E108)</f>
        <v>45909928</v>
      </c>
      <c r="G108" s="7">
        <f>SUM(G88:G107)</f>
        <v>36668063</v>
      </c>
      <c r="H108" s="7">
        <f>SUM(H88:H107)</f>
        <v>15249183</v>
      </c>
      <c r="I108" s="7">
        <f>SUM(G108:H108)</f>
        <v>51917246</v>
      </c>
    </row>
    <row r="109" spans="1:9" ht="15">
      <c r="A109" s="224" t="s">
        <v>33</v>
      </c>
      <c r="B109" s="225"/>
      <c r="C109" s="225"/>
      <c r="D109" s="225"/>
      <c r="E109" s="225"/>
      <c r="F109" s="225"/>
      <c r="G109" s="225"/>
      <c r="H109" s="225"/>
      <c r="I109" s="226"/>
    </row>
    <row r="110" spans="1:9" ht="15">
      <c r="A110" s="15">
        <v>32</v>
      </c>
      <c r="B110" s="15">
        <v>1</v>
      </c>
      <c r="C110" s="95" t="s">
        <v>248</v>
      </c>
      <c r="D110" s="5"/>
      <c r="E110" s="5"/>
      <c r="F110" s="6">
        <f>SUM(D110:E110)</f>
        <v>0</v>
      </c>
      <c r="G110" s="5">
        <v>200000</v>
      </c>
      <c r="H110" s="5">
        <v>171000</v>
      </c>
      <c r="I110" s="6">
        <f>SUM(G110:H110)</f>
        <v>371000</v>
      </c>
    </row>
    <row r="111" spans="1:9" ht="15">
      <c r="A111" s="15">
        <v>33</v>
      </c>
      <c r="B111" s="15">
        <v>2</v>
      </c>
      <c r="C111" s="95" t="s">
        <v>249</v>
      </c>
      <c r="D111" s="5">
        <v>388700</v>
      </c>
      <c r="E111" s="5"/>
      <c r="F111" s="6">
        <f>SUM(D111:E111)</f>
        <v>388700</v>
      </c>
      <c r="G111" s="5"/>
      <c r="H111" s="5"/>
      <c r="I111" s="6">
        <f>SUM(G111:H111)</f>
        <v>0</v>
      </c>
    </row>
    <row r="112" spans="1:9" ht="15">
      <c r="A112" s="15">
        <v>34</v>
      </c>
      <c r="B112" s="15">
        <v>3</v>
      </c>
      <c r="C112" s="19" t="s">
        <v>34</v>
      </c>
      <c r="D112" s="5"/>
      <c r="E112" s="5"/>
      <c r="F112" s="6">
        <f aca="true" t="shared" si="5" ref="F112:F119">SUM(D112:E112)</f>
        <v>0</v>
      </c>
      <c r="G112" s="5"/>
      <c r="H112" s="5"/>
      <c r="I112" s="6">
        <f aca="true" t="shared" si="6" ref="I112:I119">SUM(G112:H112)</f>
        <v>0</v>
      </c>
    </row>
    <row r="113" spans="1:9" ht="15">
      <c r="A113" s="15">
        <v>35</v>
      </c>
      <c r="B113" s="15">
        <v>4</v>
      </c>
      <c r="C113" s="19" t="s">
        <v>35</v>
      </c>
      <c r="D113" s="5"/>
      <c r="E113" s="5"/>
      <c r="F113" s="6">
        <f t="shared" si="5"/>
        <v>0</v>
      </c>
      <c r="G113" s="5"/>
      <c r="H113" s="5"/>
      <c r="I113" s="6">
        <f t="shared" si="6"/>
        <v>0</v>
      </c>
    </row>
    <row r="114" spans="1:9" ht="15">
      <c r="A114" s="15">
        <v>36</v>
      </c>
      <c r="B114" s="15">
        <v>5</v>
      </c>
      <c r="C114" s="19" t="s">
        <v>36</v>
      </c>
      <c r="D114" s="5">
        <v>112000</v>
      </c>
      <c r="E114" s="5">
        <v>170000</v>
      </c>
      <c r="F114" s="6">
        <f t="shared" si="5"/>
        <v>282000</v>
      </c>
      <c r="G114" s="5"/>
      <c r="H114" s="5"/>
      <c r="I114" s="6">
        <f t="shared" si="6"/>
        <v>0</v>
      </c>
    </row>
    <row r="115" spans="1:9" ht="15">
      <c r="A115" s="15">
        <v>37</v>
      </c>
      <c r="B115" s="15">
        <v>6</v>
      </c>
      <c r="C115" s="19" t="s">
        <v>37</v>
      </c>
      <c r="D115" s="5"/>
      <c r="E115" s="5"/>
      <c r="F115" s="6">
        <f t="shared" si="5"/>
        <v>0</v>
      </c>
      <c r="G115" s="5"/>
      <c r="H115" s="5"/>
      <c r="I115" s="6">
        <f t="shared" si="6"/>
        <v>0</v>
      </c>
    </row>
    <row r="116" spans="1:9" ht="15">
      <c r="A116" s="15">
        <v>38</v>
      </c>
      <c r="B116" s="15">
        <v>7</v>
      </c>
      <c r="C116" s="19" t="s">
        <v>38</v>
      </c>
      <c r="D116" s="5">
        <v>441000</v>
      </c>
      <c r="E116" s="5">
        <v>42000</v>
      </c>
      <c r="F116" s="6">
        <f t="shared" si="5"/>
        <v>483000</v>
      </c>
      <c r="G116" s="5">
        <v>361000</v>
      </c>
      <c r="H116" s="5">
        <v>20000</v>
      </c>
      <c r="I116" s="6">
        <f t="shared" si="6"/>
        <v>381000</v>
      </c>
    </row>
    <row r="117" spans="1:9" ht="15">
      <c r="A117" s="15">
        <v>39</v>
      </c>
      <c r="B117" s="15">
        <v>8</v>
      </c>
      <c r="C117" s="19" t="s">
        <v>39</v>
      </c>
      <c r="D117" s="5">
        <v>1062003</v>
      </c>
      <c r="E117" s="5">
        <v>350500</v>
      </c>
      <c r="F117" s="6">
        <f t="shared" si="5"/>
        <v>1412503</v>
      </c>
      <c r="G117" s="5">
        <v>4497974</v>
      </c>
      <c r="H117" s="5">
        <v>1232500</v>
      </c>
      <c r="I117" s="6">
        <f t="shared" si="6"/>
        <v>5730474</v>
      </c>
    </row>
    <row r="118" spans="1:9" ht="15">
      <c r="A118" s="15">
        <v>40</v>
      </c>
      <c r="B118" s="15">
        <v>9</v>
      </c>
      <c r="C118" s="19" t="s">
        <v>40</v>
      </c>
      <c r="D118" s="5">
        <v>485400</v>
      </c>
      <c r="E118" s="5">
        <v>135000</v>
      </c>
      <c r="F118" s="6">
        <f t="shared" si="5"/>
        <v>620400</v>
      </c>
      <c r="G118" s="5"/>
      <c r="H118" s="5"/>
      <c r="I118" s="6">
        <f t="shared" si="6"/>
        <v>0</v>
      </c>
    </row>
    <row r="119" spans="1:9" ht="15">
      <c r="A119" s="15">
        <v>41</v>
      </c>
      <c r="B119" s="15">
        <v>10</v>
      </c>
      <c r="C119" s="20" t="s">
        <v>41</v>
      </c>
      <c r="D119" s="5">
        <v>1090200</v>
      </c>
      <c r="E119" s="5">
        <v>175000</v>
      </c>
      <c r="F119" s="6">
        <f t="shared" si="5"/>
        <v>1265200</v>
      </c>
      <c r="G119" s="5"/>
      <c r="H119" s="5"/>
      <c r="I119" s="6">
        <f t="shared" si="6"/>
        <v>0</v>
      </c>
    </row>
    <row r="120" spans="1:9" ht="15">
      <c r="A120" s="15">
        <v>42</v>
      </c>
      <c r="B120" s="15">
        <v>11</v>
      </c>
      <c r="C120" s="97" t="s">
        <v>241</v>
      </c>
      <c r="D120" s="5">
        <v>411700</v>
      </c>
      <c r="E120" s="5">
        <v>230000</v>
      </c>
      <c r="F120" s="6">
        <f>SUM(D120:E120)</f>
        <v>641700</v>
      </c>
      <c r="G120" s="5"/>
      <c r="H120" s="5"/>
      <c r="I120" s="6">
        <f>SUM(G120:H120)</f>
        <v>0</v>
      </c>
    </row>
    <row r="121" spans="1:9" ht="15">
      <c r="A121" s="224" t="s">
        <v>42</v>
      </c>
      <c r="B121" s="225"/>
      <c r="C121" s="233"/>
      <c r="D121" s="7">
        <f>SUM(D110:D120)</f>
        <v>3991003</v>
      </c>
      <c r="E121" s="7">
        <f>SUM(E110:E120)</f>
        <v>1102500</v>
      </c>
      <c r="F121" s="7">
        <f>SUM(D121:E121)</f>
        <v>5093503</v>
      </c>
      <c r="G121" s="7">
        <f>SUM(G110:G120)</f>
        <v>5058974</v>
      </c>
      <c r="H121" s="7">
        <f>SUM(H110:H120)</f>
        <v>1423500</v>
      </c>
      <c r="I121" s="7">
        <f>SUM(G121:H121)</f>
        <v>6482474</v>
      </c>
    </row>
    <row r="122" spans="1:9" ht="15">
      <c r="A122" s="224" t="s">
        <v>43</v>
      </c>
      <c r="B122" s="225"/>
      <c r="C122" s="225"/>
      <c r="D122" s="225"/>
      <c r="E122" s="225"/>
      <c r="F122" s="225"/>
      <c r="G122" s="225"/>
      <c r="H122" s="225"/>
      <c r="I122" s="226"/>
    </row>
    <row r="123" spans="1:9" ht="15">
      <c r="A123" s="15">
        <v>43</v>
      </c>
      <c r="B123" s="15">
        <v>1</v>
      </c>
      <c r="C123" s="13" t="s">
        <v>44</v>
      </c>
      <c r="D123" s="5">
        <v>1521000</v>
      </c>
      <c r="E123" s="5">
        <v>351000</v>
      </c>
      <c r="F123" s="6">
        <f>SUM(D123:E123)</f>
        <v>1872000</v>
      </c>
      <c r="G123" s="5"/>
      <c r="H123" s="5"/>
      <c r="I123" s="6">
        <f>SUM(G123:H123)</f>
        <v>0</v>
      </c>
    </row>
    <row r="124" spans="1:9" ht="15">
      <c r="A124" s="15">
        <v>44</v>
      </c>
      <c r="B124" s="15">
        <v>2</v>
      </c>
      <c r="C124" s="13" t="s">
        <v>45</v>
      </c>
      <c r="D124" s="5"/>
      <c r="E124" s="5"/>
      <c r="F124" s="6">
        <f>SUM(D124:E124)</f>
        <v>0</v>
      </c>
      <c r="G124" s="5"/>
      <c r="H124" s="5"/>
      <c r="I124" s="6">
        <f>SUM(G124:H124)</f>
        <v>0</v>
      </c>
    </row>
    <row r="125" spans="1:9" ht="15">
      <c r="A125" s="15">
        <v>45</v>
      </c>
      <c r="B125" s="15">
        <v>3</v>
      </c>
      <c r="C125" s="13" t="s">
        <v>46</v>
      </c>
      <c r="D125" s="5">
        <v>769228</v>
      </c>
      <c r="E125" s="5">
        <v>116000</v>
      </c>
      <c r="F125" s="6">
        <f>SUM(D125:E125)</f>
        <v>885228</v>
      </c>
      <c r="G125" s="5"/>
      <c r="H125" s="5"/>
      <c r="I125" s="6">
        <f>SUM(G125:H125)</f>
        <v>0</v>
      </c>
    </row>
    <row r="126" spans="1:9" ht="15">
      <c r="A126" s="224" t="s">
        <v>5</v>
      </c>
      <c r="B126" s="225"/>
      <c r="C126" s="225"/>
      <c r="D126" s="7">
        <f>SUM(D123:D125)</f>
        <v>2290228</v>
      </c>
      <c r="E126" s="7">
        <f>SUM(E123:E125)</f>
        <v>467000</v>
      </c>
      <c r="F126" s="7">
        <f>SUM(D126:E126)</f>
        <v>2757228</v>
      </c>
      <c r="G126" s="7">
        <f>SUM(G123:G125)</f>
        <v>0</v>
      </c>
      <c r="H126" s="7">
        <f>SUM(H123:H125)</f>
        <v>0</v>
      </c>
      <c r="I126" s="7">
        <f>SUM(G126:H126)</f>
        <v>0</v>
      </c>
    </row>
    <row r="127" spans="1:9" ht="15">
      <c r="A127" s="224" t="s">
        <v>47</v>
      </c>
      <c r="B127" s="225"/>
      <c r="C127" s="225"/>
      <c r="D127" s="225"/>
      <c r="E127" s="225"/>
      <c r="F127" s="225"/>
      <c r="G127" s="225"/>
      <c r="H127" s="225"/>
      <c r="I127" s="226"/>
    </row>
    <row r="128" spans="1:9" ht="15">
      <c r="A128" s="15">
        <v>46</v>
      </c>
      <c r="B128" s="15">
        <v>1</v>
      </c>
      <c r="C128" s="15" t="s">
        <v>48</v>
      </c>
      <c r="D128" s="5">
        <v>700000</v>
      </c>
      <c r="E128" s="5">
        <v>100000</v>
      </c>
      <c r="F128" s="6">
        <f>SUM(D128:E128)</f>
        <v>800000</v>
      </c>
      <c r="G128" s="5">
        <v>800000</v>
      </c>
      <c r="H128" s="5">
        <v>200000</v>
      </c>
      <c r="I128" s="6">
        <f>SUM(G128:H128)</f>
        <v>1000000</v>
      </c>
    </row>
    <row r="129" spans="1:9" ht="15">
      <c r="A129" s="224" t="s">
        <v>42</v>
      </c>
      <c r="B129" s="225"/>
      <c r="C129" s="225"/>
      <c r="D129" s="7">
        <f>D128</f>
        <v>700000</v>
      </c>
      <c r="E129" s="7">
        <f>E128</f>
        <v>100000</v>
      </c>
      <c r="F129" s="7">
        <f>SUM(D129:E129)</f>
        <v>800000</v>
      </c>
      <c r="G129" s="7">
        <f>G128</f>
        <v>800000</v>
      </c>
      <c r="H129" s="7">
        <f>H128</f>
        <v>200000</v>
      </c>
      <c r="I129" s="7">
        <f>SUM(G129:H129)</f>
        <v>1000000</v>
      </c>
    </row>
    <row r="130" spans="1:9" ht="15">
      <c r="A130" s="224" t="s">
        <v>49</v>
      </c>
      <c r="B130" s="225"/>
      <c r="C130" s="225"/>
      <c r="D130" s="225"/>
      <c r="E130" s="225"/>
      <c r="F130" s="225"/>
      <c r="G130" s="225"/>
      <c r="H130" s="225"/>
      <c r="I130" s="226"/>
    </row>
    <row r="131" spans="1:9" ht="15">
      <c r="A131" s="15">
        <v>47</v>
      </c>
      <c r="B131" s="15">
        <v>1</v>
      </c>
      <c r="C131" s="19" t="s">
        <v>50</v>
      </c>
      <c r="D131" s="5">
        <v>1794818</v>
      </c>
      <c r="E131" s="5">
        <v>509150</v>
      </c>
      <c r="F131" s="6">
        <f>SUM(D131:E131)</f>
        <v>2303968</v>
      </c>
      <c r="G131" s="5">
        <v>1800720</v>
      </c>
      <c r="H131" s="5">
        <v>509150</v>
      </c>
      <c r="I131" s="6">
        <f>SUM(G131:H131)</f>
        <v>2309870</v>
      </c>
    </row>
    <row r="132" spans="1:9" ht="15">
      <c r="A132" s="224" t="s">
        <v>42</v>
      </c>
      <c r="B132" s="225"/>
      <c r="C132" s="225"/>
      <c r="D132" s="7">
        <f>D131</f>
        <v>1794818</v>
      </c>
      <c r="E132" s="7">
        <f>E131</f>
        <v>509150</v>
      </c>
      <c r="F132" s="7">
        <f>SUM(D132:E132)</f>
        <v>2303968</v>
      </c>
      <c r="G132" s="7">
        <f>G131</f>
        <v>1800720</v>
      </c>
      <c r="H132" s="7">
        <f>H131</f>
        <v>509150</v>
      </c>
      <c r="I132" s="7">
        <f>SUM(G132:H132)</f>
        <v>2309870</v>
      </c>
    </row>
    <row r="133" spans="1:9" ht="15">
      <c r="A133" s="224" t="s">
        <v>51</v>
      </c>
      <c r="B133" s="225"/>
      <c r="C133" s="225"/>
      <c r="D133" s="225"/>
      <c r="E133" s="225"/>
      <c r="F133" s="225"/>
      <c r="G133" s="225"/>
      <c r="H133" s="225"/>
      <c r="I133" s="226"/>
    </row>
    <row r="134" spans="1:9" ht="15">
      <c r="A134" s="15">
        <v>48</v>
      </c>
      <c r="B134" s="15">
        <v>1</v>
      </c>
      <c r="C134" s="19" t="s">
        <v>52</v>
      </c>
      <c r="D134" s="5">
        <v>1769000</v>
      </c>
      <c r="E134" s="5">
        <v>649500</v>
      </c>
      <c r="F134" s="6">
        <f>SUM(D134:E134)</f>
        <v>2418500</v>
      </c>
      <c r="G134" s="5">
        <v>1657000</v>
      </c>
      <c r="H134" s="5">
        <v>649500</v>
      </c>
      <c r="I134" s="6">
        <f>SUM(G134:H134)</f>
        <v>2306500</v>
      </c>
    </row>
    <row r="135" spans="1:9" ht="15">
      <c r="A135" s="15">
        <v>49</v>
      </c>
      <c r="B135" s="15">
        <v>2</v>
      </c>
      <c r="C135" s="19" t="s">
        <v>53</v>
      </c>
      <c r="D135" s="5">
        <v>244000</v>
      </c>
      <c r="E135" s="5">
        <v>555000</v>
      </c>
      <c r="F135" s="6">
        <f aca="true" t="shared" si="7" ref="F135:F153">SUM(D135:E135)</f>
        <v>799000</v>
      </c>
      <c r="G135" s="5">
        <v>244000</v>
      </c>
      <c r="H135" s="5">
        <v>555000</v>
      </c>
      <c r="I135" s="6">
        <f aca="true" t="shared" si="8" ref="I135:I143">SUM(G135:H135)</f>
        <v>799000</v>
      </c>
    </row>
    <row r="136" spans="1:9" ht="15">
      <c r="A136" s="15">
        <v>50</v>
      </c>
      <c r="B136" s="15">
        <v>3</v>
      </c>
      <c r="C136" s="20" t="s">
        <v>54</v>
      </c>
      <c r="D136" s="5"/>
      <c r="E136" s="5"/>
      <c r="F136" s="6">
        <f t="shared" si="7"/>
        <v>0</v>
      </c>
      <c r="G136" s="5">
        <v>1572000</v>
      </c>
      <c r="H136" s="5"/>
      <c r="I136" s="6">
        <f t="shared" si="8"/>
        <v>1572000</v>
      </c>
    </row>
    <row r="137" spans="1:9" ht="15">
      <c r="A137" s="15">
        <v>51</v>
      </c>
      <c r="B137" s="21">
        <v>4</v>
      </c>
      <c r="C137" s="20" t="s">
        <v>55</v>
      </c>
      <c r="D137" s="5"/>
      <c r="E137" s="5"/>
      <c r="F137" s="6">
        <f t="shared" si="7"/>
        <v>0</v>
      </c>
      <c r="G137" s="5">
        <v>132000</v>
      </c>
      <c r="H137" s="5">
        <v>632000</v>
      </c>
      <c r="I137" s="6">
        <f t="shared" si="8"/>
        <v>764000</v>
      </c>
    </row>
    <row r="138" spans="1:9" ht="15">
      <c r="A138" s="15">
        <v>52</v>
      </c>
      <c r="B138" s="15">
        <v>5</v>
      </c>
      <c r="C138" s="20" t="s">
        <v>56</v>
      </c>
      <c r="D138" s="5">
        <v>505700</v>
      </c>
      <c r="E138" s="5">
        <v>157000</v>
      </c>
      <c r="F138" s="6">
        <f t="shared" si="7"/>
        <v>662700</v>
      </c>
      <c r="G138" s="5">
        <v>505700</v>
      </c>
      <c r="H138" s="5">
        <v>157000</v>
      </c>
      <c r="I138" s="6">
        <f t="shared" si="8"/>
        <v>662700</v>
      </c>
    </row>
    <row r="139" spans="1:9" ht="15">
      <c r="A139" s="15">
        <v>53</v>
      </c>
      <c r="B139" s="15">
        <v>6</v>
      </c>
      <c r="C139" s="20" t="s">
        <v>57</v>
      </c>
      <c r="D139" s="5"/>
      <c r="E139" s="5"/>
      <c r="F139" s="6">
        <f t="shared" si="7"/>
        <v>0</v>
      </c>
      <c r="G139" s="5">
        <f>595650*3</f>
        <v>1786950</v>
      </c>
      <c r="H139" s="5">
        <f>130000*3</f>
        <v>390000</v>
      </c>
      <c r="I139" s="6">
        <f t="shared" si="8"/>
        <v>2176950</v>
      </c>
    </row>
    <row r="140" spans="1:9" ht="15">
      <c r="A140" s="15">
        <v>54</v>
      </c>
      <c r="B140" s="15">
        <v>7</v>
      </c>
      <c r="C140" s="20" t="s">
        <v>58</v>
      </c>
      <c r="D140" s="5">
        <v>506000</v>
      </c>
      <c r="E140" s="5">
        <v>150000</v>
      </c>
      <c r="F140" s="6">
        <f t="shared" si="7"/>
        <v>656000</v>
      </c>
      <c r="G140" s="5">
        <v>506000</v>
      </c>
      <c r="H140" s="5">
        <v>140000</v>
      </c>
      <c r="I140" s="6">
        <f t="shared" si="8"/>
        <v>646000</v>
      </c>
    </row>
    <row r="141" spans="1:9" ht="15">
      <c r="A141" s="15">
        <v>55</v>
      </c>
      <c r="B141" s="15">
        <v>8</v>
      </c>
      <c r="C141" s="19" t="s">
        <v>59</v>
      </c>
      <c r="D141" s="5">
        <v>750000</v>
      </c>
      <c r="E141" s="5">
        <v>100000</v>
      </c>
      <c r="F141" s="6">
        <f t="shared" si="7"/>
        <v>850000</v>
      </c>
      <c r="G141" s="5">
        <v>750000</v>
      </c>
      <c r="H141" s="5">
        <v>100000</v>
      </c>
      <c r="I141" s="6">
        <f t="shared" si="8"/>
        <v>850000</v>
      </c>
    </row>
    <row r="142" spans="1:9" ht="15">
      <c r="A142" s="15">
        <v>56</v>
      </c>
      <c r="B142" s="15">
        <v>9</v>
      </c>
      <c r="C142" s="19" t="s">
        <v>60</v>
      </c>
      <c r="D142" s="5">
        <v>469500</v>
      </c>
      <c r="E142" s="5">
        <v>190000</v>
      </c>
      <c r="F142" s="6">
        <f t="shared" si="7"/>
        <v>659500</v>
      </c>
      <c r="G142" s="5">
        <v>469500</v>
      </c>
      <c r="H142" s="5">
        <v>210000</v>
      </c>
      <c r="I142" s="6">
        <f t="shared" si="8"/>
        <v>679500</v>
      </c>
    </row>
    <row r="143" spans="1:9" ht="15">
      <c r="A143" s="15">
        <v>57</v>
      </c>
      <c r="B143" s="15">
        <v>10</v>
      </c>
      <c r="C143" s="19" t="s">
        <v>61</v>
      </c>
      <c r="D143" s="5">
        <v>180000</v>
      </c>
      <c r="E143" s="5">
        <v>320200</v>
      </c>
      <c r="F143" s="6">
        <f t="shared" si="7"/>
        <v>500200</v>
      </c>
      <c r="G143" s="5">
        <v>260400</v>
      </c>
      <c r="H143" s="5">
        <v>140000</v>
      </c>
      <c r="I143" s="6">
        <f t="shared" si="8"/>
        <v>400400</v>
      </c>
    </row>
    <row r="144" spans="1:9" ht="15">
      <c r="A144" s="15">
        <v>58</v>
      </c>
      <c r="B144" s="15">
        <v>11</v>
      </c>
      <c r="C144" s="19" t="s">
        <v>62</v>
      </c>
      <c r="D144" s="5">
        <v>1122000</v>
      </c>
      <c r="F144" s="6">
        <f>SUM(D144:E144)</f>
        <v>1122000</v>
      </c>
      <c r="G144" s="5">
        <v>915000</v>
      </c>
      <c r="I144" s="6">
        <f>SUM(G144:H144)</f>
        <v>915000</v>
      </c>
    </row>
    <row r="145" spans="1:9" ht="15">
      <c r="A145" s="15">
        <v>59</v>
      </c>
      <c r="B145" s="15">
        <v>12</v>
      </c>
      <c r="C145" s="19" t="s">
        <v>63</v>
      </c>
      <c r="D145" s="5"/>
      <c r="E145" s="5"/>
      <c r="F145" s="6">
        <f t="shared" si="7"/>
        <v>0</v>
      </c>
      <c r="G145" s="5"/>
      <c r="H145" s="5"/>
      <c r="I145" s="6">
        <f>SUM(G145:H145)</f>
        <v>0</v>
      </c>
    </row>
    <row r="146" spans="1:9" ht="15">
      <c r="A146" s="15">
        <v>60</v>
      </c>
      <c r="B146" s="15">
        <v>13</v>
      </c>
      <c r="C146" s="19" t="s">
        <v>64</v>
      </c>
      <c r="D146" s="5">
        <v>613500</v>
      </c>
      <c r="E146" s="5"/>
      <c r="F146" s="6">
        <f t="shared" si="7"/>
        <v>613500</v>
      </c>
      <c r="G146" s="5"/>
      <c r="H146" s="5"/>
      <c r="I146" s="6">
        <f>SUM(G146:H146)</f>
        <v>0</v>
      </c>
    </row>
    <row r="147" spans="1:9" ht="15">
      <c r="A147" s="15">
        <v>61</v>
      </c>
      <c r="B147" s="15">
        <v>14</v>
      </c>
      <c r="C147" s="19" t="s">
        <v>65</v>
      </c>
      <c r="D147" s="5">
        <v>229000</v>
      </c>
      <c r="E147" s="5">
        <v>140000</v>
      </c>
      <c r="F147" s="6">
        <f>SUM(D147:E147)</f>
        <v>369000</v>
      </c>
      <c r="G147" s="5">
        <v>229000</v>
      </c>
      <c r="H147" s="5">
        <v>125000</v>
      </c>
      <c r="I147" s="6">
        <f>SUM(G147:H147)</f>
        <v>354000</v>
      </c>
    </row>
    <row r="148" spans="1:9" ht="15">
      <c r="A148" s="15">
        <v>62</v>
      </c>
      <c r="B148" s="15">
        <v>15</v>
      </c>
      <c r="C148" s="78" t="s">
        <v>66</v>
      </c>
      <c r="D148" s="5"/>
      <c r="E148" s="5"/>
      <c r="F148" s="6">
        <f t="shared" si="7"/>
        <v>0</v>
      </c>
      <c r="G148" s="5">
        <v>1250000</v>
      </c>
      <c r="H148" s="5">
        <v>250000</v>
      </c>
      <c r="I148" s="6">
        <f aca="true" t="shared" si="9" ref="I148:I153">SUM(G148:H148)</f>
        <v>1500000</v>
      </c>
    </row>
    <row r="149" spans="1:9" ht="15">
      <c r="A149" s="15">
        <v>63</v>
      </c>
      <c r="B149" s="15">
        <v>16</v>
      </c>
      <c r="C149" s="19" t="s">
        <v>67</v>
      </c>
      <c r="D149" s="5"/>
      <c r="E149" s="5"/>
      <c r="F149" s="6">
        <f t="shared" si="7"/>
        <v>0</v>
      </c>
      <c r="G149" s="5">
        <v>1012000</v>
      </c>
      <c r="H149" s="5"/>
      <c r="I149" s="6">
        <f t="shared" si="9"/>
        <v>1012000</v>
      </c>
    </row>
    <row r="150" spans="1:9" ht="15">
      <c r="A150" s="15">
        <v>64</v>
      </c>
      <c r="B150" s="15">
        <v>17</v>
      </c>
      <c r="C150" s="19" t="s">
        <v>68</v>
      </c>
      <c r="D150" s="5"/>
      <c r="E150" s="5"/>
      <c r="F150" s="6">
        <f t="shared" si="7"/>
        <v>0</v>
      </c>
      <c r="G150" s="5">
        <v>1250000</v>
      </c>
      <c r="H150" s="5"/>
      <c r="I150" s="6">
        <f t="shared" si="9"/>
        <v>1250000</v>
      </c>
    </row>
    <row r="151" spans="1:9" ht="15">
      <c r="A151" s="15">
        <v>65</v>
      </c>
      <c r="B151" s="15">
        <v>18</v>
      </c>
      <c r="C151" s="19" t="s">
        <v>69</v>
      </c>
      <c r="D151" s="5">
        <v>487719</v>
      </c>
      <c r="E151" s="5">
        <v>170000</v>
      </c>
      <c r="F151" s="6">
        <f t="shared" si="7"/>
        <v>657719</v>
      </c>
      <c r="G151" s="5">
        <v>601719</v>
      </c>
      <c r="H151" s="5">
        <v>180000</v>
      </c>
      <c r="I151" s="6">
        <f t="shared" si="9"/>
        <v>781719</v>
      </c>
    </row>
    <row r="152" spans="1:9" ht="15">
      <c r="A152" s="15">
        <v>66</v>
      </c>
      <c r="B152" s="15">
        <v>19</v>
      </c>
      <c r="C152" s="19" t="s">
        <v>70</v>
      </c>
      <c r="D152" s="5"/>
      <c r="E152" s="5">
        <v>1027786</v>
      </c>
      <c r="F152" s="6">
        <f t="shared" si="7"/>
        <v>1027786</v>
      </c>
      <c r="G152" s="5"/>
      <c r="H152" s="5"/>
      <c r="I152" s="6">
        <f t="shared" si="9"/>
        <v>0</v>
      </c>
    </row>
    <row r="153" spans="1:9" ht="15">
      <c r="A153" s="15">
        <v>67</v>
      </c>
      <c r="B153" s="15">
        <v>20</v>
      </c>
      <c r="C153" s="19" t="s">
        <v>71</v>
      </c>
      <c r="D153" s="5">
        <f>743318+743318+739873</f>
        <v>2226509</v>
      </c>
      <c r="E153" s="5">
        <f>180000+180000+190000</f>
        <v>550000</v>
      </c>
      <c r="F153" s="6">
        <f t="shared" si="7"/>
        <v>2776509</v>
      </c>
      <c r="G153" s="5">
        <v>648318</v>
      </c>
      <c r="H153" s="5">
        <v>275000</v>
      </c>
      <c r="I153" s="6">
        <f t="shared" si="9"/>
        <v>923318</v>
      </c>
    </row>
    <row r="154" spans="1:9" ht="15">
      <c r="A154" s="224" t="s">
        <v>5</v>
      </c>
      <c r="B154" s="225"/>
      <c r="C154" s="225"/>
      <c r="D154" s="7">
        <f>SUM(D134:D153)</f>
        <v>9102928</v>
      </c>
      <c r="E154" s="7">
        <f>SUM(E134:E153)</f>
        <v>4009486</v>
      </c>
      <c r="F154" s="7">
        <f>SUM(D154:E154)</f>
        <v>13112414</v>
      </c>
      <c r="G154" s="7">
        <f>SUM(G134:G153)</f>
        <v>13789587</v>
      </c>
      <c r="H154" s="7">
        <f>SUM(H134:H153)</f>
        <v>3803500</v>
      </c>
      <c r="I154" s="7">
        <f>SUM(G154:H154)</f>
        <v>17593087</v>
      </c>
    </row>
    <row r="155" spans="1:9" ht="15">
      <c r="A155" s="234" t="s">
        <v>72</v>
      </c>
      <c r="B155" s="235"/>
      <c r="C155" s="235"/>
      <c r="D155" s="235"/>
      <c r="E155" s="235"/>
      <c r="F155" s="235"/>
      <c r="G155" s="235"/>
      <c r="H155" s="235"/>
      <c r="I155" s="236"/>
    </row>
    <row r="156" spans="1:9" ht="15">
      <c r="A156" s="15">
        <v>68</v>
      </c>
      <c r="B156" s="15">
        <v>1</v>
      </c>
      <c r="C156" s="20" t="s">
        <v>73</v>
      </c>
      <c r="D156" s="5">
        <v>1424040</v>
      </c>
      <c r="E156" s="5">
        <v>882200</v>
      </c>
      <c r="F156" s="6">
        <f>SUM(D156:E156)</f>
        <v>2306240</v>
      </c>
      <c r="G156" s="5">
        <v>1424040</v>
      </c>
      <c r="H156" s="5">
        <v>862800</v>
      </c>
      <c r="I156" s="6">
        <f>SUM(G156:H156)</f>
        <v>2286840</v>
      </c>
    </row>
    <row r="157" spans="1:9" ht="15">
      <c r="A157" s="15">
        <v>69</v>
      </c>
      <c r="B157" s="15">
        <v>2</v>
      </c>
      <c r="C157" s="20" t="s">
        <v>74</v>
      </c>
      <c r="D157" s="5">
        <v>348500</v>
      </c>
      <c r="E157" s="5">
        <v>259000</v>
      </c>
      <c r="F157" s="6">
        <f>SUM(D157:E157)</f>
        <v>607500</v>
      </c>
      <c r="G157" s="5">
        <v>348500</v>
      </c>
      <c r="H157" s="5">
        <v>259000</v>
      </c>
      <c r="I157" s="6">
        <f>SUM(G157:H157)</f>
        <v>607500</v>
      </c>
    </row>
    <row r="158" spans="1:9" ht="15">
      <c r="A158" s="15">
        <v>70</v>
      </c>
      <c r="B158" s="15">
        <v>3</v>
      </c>
      <c r="C158" s="20" t="s">
        <v>75</v>
      </c>
      <c r="D158" s="5">
        <v>1353200</v>
      </c>
      <c r="E158" s="5">
        <v>1247500</v>
      </c>
      <c r="F158" s="6">
        <f aca="true" t="shared" si="10" ref="F158:F175">SUM(D158:E158)</f>
        <v>2600700</v>
      </c>
      <c r="G158" s="5">
        <v>1353200</v>
      </c>
      <c r="H158" s="5">
        <v>1247500</v>
      </c>
      <c r="I158" s="6">
        <f aca="true" t="shared" si="11" ref="I158:I175">SUM(G158:H158)</f>
        <v>2600700</v>
      </c>
    </row>
    <row r="159" spans="1:9" ht="15">
      <c r="A159" s="15">
        <v>71</v>
      </c>
      <c r="B159" s="15">
        <v>4</v>
      </c>
      <c r="C159" s="20" t="s">
        <v>76</v>
      </c>
      <c r="D159" s="5"/>
      <c r="E159" s="5">
        <v>300000</v>
      </c>
      <c r="F159" s="6">
        <f t="shared" si="10"/>
        <v>300000</v>
      </c>
      <c r="G159" s="5"/>
      <c r="H159" s="5">
        <v>300000</v>
      </c>
      <c r="I159" s="6">
        <f t="shared" si="11"/>
        <v>300000</v>
      </c>
    </row>
    <row r="160" spans="1:9" ht="15">
      <c r="A160" s="15">
        <v>72</v>
      </c>
      <c r="B160" s="15">
        <v>5</v>
      </c>
      <c r="C160" s="22" t="s">
        <v>77</v>
      </c>
      <c r="D160" s="5"/>
      <c r="E160" s="5"/>
      <c r="F160" s="6">
        <f t="shared" si="10"/>
        <v>0</v>
      </c>
      <c r="G160" s="5"/>
      <c r="H160" s="5"/>
      <c r="I160" s="6">
        <f t="shared" si="11"/>
        <v>0</v>
      </c>
    </row>
    <row r="161" spans="1:9" ht="15">
      <c r="A161" s="15">
        <v>73</v>
      </c>
      <c r="B161" s="15">
        <v>6</v>
      </c>
      <c r="C161" s="20" t="s">
        <v>78</v>
      </c>
      <c r="D161" s="5">
        <v>794000</v>
      </c>
      <c r="E161" s="5">
        <v>1419500</v>
      </c>
      <c r="F161" s="6">
        <f t="shared" si="10"/>
        <v>2213500</v>
      </c>
      <c r="G161" s="5">
        <v>794000</v>
      </c>
      <c r="H161" s="5">
        <v>1419500</v>
      </c>
      <c r="I161" s="6">
        <f t="shared" si="11"/>
        <v>2213500</v>
      </c>
    </row>
    <row r="162" spans="1:9" ht="15">
      <c r="A162" s="15">
        <v>74</v>
      </c>
      <c r="B162" s="15">
        <v>7</v>
      </c>
      <c r="C162" s="20" t="s">
        <v>79</v>
      </c>
      <c r="D162" s="5">
        <v>337000</v>
      </c>
      <c r="E162" s="5">
        <v>450000</v>
      </c>
      <c r="F162" s="6">
        <f t="shared" si="10"/>
        <v>787000</v>
      </c>
      <c r="G162" s="5">
        <v>337000</v>
      </c>
      <c r="H162" s="5">
        <v>450000</v>
      </c>
      <c r="I162" s="6">
        <f t="shared" si="11"/>
        <v>787000</v>
      </c>
    </row>
    <row r="163" spans="1:9" ht="15">
      <c r="A163" s="15">
        <v>75</v>
      </c>
      <c r="B163" s="15">
        <v>8</v>
      </c>
      <c r="C163" s="20" t="s">
        <v>80</v>
      </c>
      <c r="D163" s="5">
        <v>525700</v>
      </c>
      <c r="E163" s="5">
        <v>939000</v>
      </c>
      <c r="F163" s="6">
        <f t="shared" si="10"/>
        <v>1464700</v>
      </c>
      <c r="G163" s="5">
        <v>529700</v>
      </c>
      <c r="H163" s="5">
        <v>939000</v>
      </c>
      <c r="I163" s="6">
        <f t="shared" si="11"/>
        <v>1468700</v>
      </c>
    </row>
    <row r="164" spans="1:9" ht="15">
      <c r="A164" s="15">
        <v>76</v>
      </c>
      <c r="B164" s="15">
        <v>9</v>
      </c>
      <c r="C164" s="20" t="s">
        <v>81</v>
      </c>
      <c r="D164" s="5">
        <v>317500</v>
      </c>
      <c r="E164" s="5">
        <v>475000</v>
      </c>
      <c r="F164" s="6">
        <f t="shared" si="10"/>
        <v>792500</v>
      </c>
      <c r="G164" s="5">
        <v>317500</v>
      </c>
      <c r="H164" s="5">
        <v>475000</v>
      </c>
      <c r="I164" s="6">
        <f t="shared" si="11"/>
        <v>792500</v>
      </c>
    </row>
    <row r="165" spans="1:9" ht="15">
      <c r="A165" s="15">
        <v>77</v>
      </c>
      <c r="B165" s="15">
        <v>10</v>
      </c>
      <c r="C165" s="20" t="s">
        <v>82</v>
      </c>
      <c r="D165" s="5">
        <v>357100</v>
      </c>
      <c r="E165" s="5">
        <v>72000</v>
      </c>
      <c r="F165" s="6">
        <f t="shared" si="10"/>
        <v>429100</v>
      </c>
      <c r="G165" s="5">
        <v>357100</v>
      </c>
      <c r="H165" s="5">
        <v>72000</v>
      </c>
      <c r="I165" s="6">
        <f t="shared" si="11"/>
        <v>429100</v>
      </c>
    </row>
    <row r="166" spans="1:9" ht="15">
      <c r="A166" s="15">
        <v>78</v>
      </c>
      <c r="B166" s="15">
        <v>11</v>
      </c>
      <c r="C166" s="20" t="s">
        <v>83</v>
      </c>
      <c r="D166" s="5">
        <v>600000</v>
      </c>
      <c r="E166" s="5">
        <v>200000</v>
      </c>
      <c r="F166" s="6">
        <f t="shared" si="10"/>
        <v>800000</v>
      </c>
      <c r="G166" s="5"/>
      <c r="H166" s="5"/>
      <c r="I166" s="6">
        <f t="shared" si="11"/>
        <v>0</v>
      </c>
    </row>
    <row r="167" spans="1:9" ht="15">
      <c r="A167" s="15">
        <v>79</v>
      </c>
      <c r="B167" s="15">
        <v>12</v>
      </c>
      <c r="C167" s="20" t="s">
        <v>84</v>
      </c>
      <c r="D167" s="5">
        <v>185000</v>
      </c>
      <c r="E167" s="5">
        <v>800000</v>
      </c>
      <c r="F167" s="6">
        <f t="shared" si="10"/>
        <v>985000</v>
      </c>
      <c r="G167" s="5">
        <v>201700</v>
      </c>
      <c r="H167" s="5">
        <v>809000</v>
      </c>
      <c r="I167" s="6">
        <f t="shared" si="11"/>
        <v>1010700</v>
      </c>
    </row>
    <row r="168" spans="1:9" ht="15">
      <c r="A168" s="15">
        <v>80</v>
      </c>
      <c r="B168" s="15">
        <v>13</v>
      </c>
      <c r="C168" s="20" t="s">
        <v>85</v>
      </c>
      <c r="D168" s="18"/>
      <c r="E168" s="18">
        <v>500000</v>
      </c>
      <c r="F168" s="6">
        <f t="shared" si="10"/>
        <v>500000</v>
      </c>
      <c r="G168" s="18"/>
      <c r="H168" s="18">
        <v>500000</v>
      </c>
      <c r="I168" s="6">
        <f t="shared" si="11"/>
        <v>500000</v>
      </c>
    </row>
    <row r="169" spans="1:9" ht="15">
      <c r="A169" s="15">
        <v>81</v>
      </c>
      <c r="B169" s="15">
        <v>14</v>
      </c>
      <c r="C169" s="22" t="s">
        <v>86</v>
      </c>
      <c r="D169" s="5"/>
      <c r="E169" s="5">
        <f>1090000*3</f>
        <v>3270000</v>
      </c>
      <c r="F169" s="6">
        <f t="shared" si="10"/>
        <v>3270000</v>
      </c>
      <c r="G169" s="5"/>
      <c r="H169" s="5"/>
      <c r="I169" s="6">
        <f t="shared" si="11"/>
        <v>0</v>
      </c>
    </row>
    <row r="170" spans="1:9" ht="15">
      <c r="A170" s="15">
        <v>82</v>
      </c>
      <c r="B170" s="15">
        <v>15</v>
      </c>
      <c r="C170" s="20" t="s">
        <v>87</v>
      </c>
      <c r="D170" s="5"/>
      <c r="E170" s="5">
        <v>1036000</v>
      </c>
      <c r="F170" s="6">
        <f t="shared" si="10"/>
        <v>1036000</v>
      </c>
      <c r="G170" s="5"/>
      <c r="H170" s="5">
        <v>1021000</v>
      </c>
      <c r="I170" s="6">
        <f t="shared" si="11"/>
        <v>1021000</v>
      </c>
    </row>
    <row r="171" spans="1:9" ht="15">
      <c r="A171" s="15">
        <v>83</v>
      </c>
      <c r="B171" s="15">
        <v>16</v>
      </c>
      <c r="C171" s="20" t="s">
        <v>88</v>
      </c>
      <c r="D171" s="5"/>
      <c r="E171" s="5"/>
      <c r="F171" s="6">
        <f t="shared" si="10"/>
        <v>0</v>
      </c>
      <c r="G171" s="5"/>
      <c r="H171" s="5"/>
      <c r="I171" s="6">
        <f t="shared" si="11"/>
        <v>0</v>
      </c>
    </row>
    <row r="172" spans="1:9" ht="15">
      <c r="A172" s="15">
        <v>84</v>
      </c>
      <c r="B172" s="15">
        <v>17</v>
      </c>
      <c r="C172" s="20" t="s">
        <v>89</v>
      </c>
      <c r="D172" s="5"/>
      <c r="E172" s="5">
        <v>763000</v>
      </c>
      <c r="F172" s="6">
        <f t="shared" si="10"/>
        <v>763000</v>
      </c>
      <c r="G172" s="5"/>
      <c r="H172" s="5">
        <v>763000</v>
      </c>
      <c r="I172" s="6">
        <f t="shared" si="11"/>
        <v>763000</v>
      </c>
    </row>
    <row r="173" spans="1:9" ht="15">
      <c r="A173" s="15">
        <v>85</v>
      </c>
      <c r="B173" s="15">
        <v>18</v>
      </c>
      <c r="C173" s="19" t="s">
        <v>90</v>
      </c>
      <c r="D173" s="5"/>
      <c r="E173" s="5"/>
      <c r="F173" s="6">
        <f t="shared" si="10"/>
        <v>0</v>
      </c>
      <c r="G173" s="5"/>
      <c r="H173" s="5"/>
      <c r="I173" s="6">
        <f t="shared" si="11"/>
        <v>0</v>
      </c>
    </row>
    <row r="174" spans="1:9" ht="15">
      <c r="A174" s="15">
        <v>86</v>
      </c>
      <c r="B174" s="15">
        <v>19</v>
      </c>
      <c r="C174" s="19" t="s">
        <v>91</v>
      </c>
      <c r="D174" s="5">
        <v>850800</v>
      </c>
      <c r="E174" s="5">
        <v>125000</v>
      </c>
      <c r="F174" s="6">
        <f t="shared" si="10"/>
        <v>975800</v>
      </c>
      <c r="G174" s="5">
        <v>850800</v>
      </c>
      <c r="H174" s="5">
        <v>125000</v>
      </c>
      <c r="I174" s="6">
        <f t="shared" si="11"/>
        <v>975800</v>
      </c>
    </row>
    <row r="175" spans="1:9" ht="15">
      <c r="A175" s="15">
        <v>87</v>
      </c>
      <c r="B175" s="15">
        <v>20</v>
      </c>
      <c r="C175" s="19" t="s">
        <v>92</v>
      </c>
      <c r="D175" s="5">
        <v>303000</v>
      </c>
      <c r="E175" s="5">
        <v>709000</v>
      </c>
      <c r="F175" s="6">
        <f t="shared" si="10"/>
        <v>1012000</v>
      </c>
      <c r="G175" s="5">
        <v>309000</v>
      </c>
      <c r="H175" s="5">
        <v>703000</v>
      </c>
      <c r="I175" s="6">
        <f t="shared" si="11"/>
        <v>1012000</v>
      </c>
    </row>
    <row r="176" spans="1:9" ht="15">
      <c r="A176" s="224" t="s">
        <v>5</v>
      </c>
      <c r="B176" s="225"/>
      <c r="C176" s="225"/>
      <c r="D176" s="7">
        <f>SUM(D156:D175)</f>
        <v>7395840</v>
      </c>
      <c r="E176" s="7">
        <f>SUM(E156:E175)</f>
        <v>13447200</v>
      </c>
      <c r="F176" s="7">
        <f>SUM(D176:E176)</f>
        <v>20843040</v>
      </c>
      <c r="G176" s="7">
        <f>SUM(G156:G175)</f>
        <v>6822540</v>
      </c>
      <c r="H176" s="7">
        <f>SUM(H156:H175)</f>
        <v>9945800</v>
      </c>
      <c r="I176" s="7">
        <f>SUM(G176:H176)</f>
        <v>16768340</v>
      </c>
    </row>
    <row r="177" spans="1:9" ht="15">
      <c r="A177" s="224" t="s">
        <v>93</v>
      </c>
      <c r="B177" s="225"/>
      <c r="C177" s="225"/>
      <c r="D177" s="225"/>
      <c r="E177" s="225"/>
      <c r="F177" s="225"/>
      <c r="G177" s="225"/>
      <c r="H177" s="225"/>
      <c r="I177" s="226"/>
    </row>
    <row r="178" spans="1:9" ht="15">
      <c r="A178" s="15">
        <v>88</v>
      </c>
      <c r="B178" s="15">
        <v>1</v>
      </c>
      <c r="C178" s="19" t="s">
        <v>94</v>
      </c>
      <c r="D178" s="5">
        <v>1401545</v>
      </c>
      <c r="E178" s="5">
        <v>102500</v>
      </c>
      <c r="F178" s="6">
        <f>SUM(D178:E178)</f>
        <v>1504045</v>
      </c>
      <c r="G178" s="5">
        <v>1426555</v>
      </c>
      <c r="H178" s="5">
        <v>101000</v>
      </c>
      <c r="I178" s="6">
        <f>SUM(G178:H178)</f>
        <v>1527555</v>
      </c>
    </row>
    <row r="179" spans="1:9" ht="15">
      <c r="A179" s="15">
        <v>89</v>
      </c>
      <c r="B179" s="15">
        <v>2</v>
      </c>
      <c r="C179" s="19" t="s">
        <v>95</v>
      </c>
      <c r="D179" s="5"/>
      <c r="E179" s="5">
        <v>25000</v>
      </c>
      <c r="F179" s="6">
        <f aca="true" t="shared" si="12" ref="F179:F200">SUM(D179:E179)</f>
        <v>25000</v>
      </c>
      <c r="G179" s="5"/>
      <c r="H179" s="5">
        <v>25000</v>
      </c>
      <c r="I179" s="6">
        <f aca="true" t="shared" si="13" ref="I179:I197">SUM(G179:H179)</f>
        <v>25000</v>
      </c>
    </row>
    <row r="180" spans="1:9" ht="15">
      <c r="A180" s="15">
        <v>90</v>
      </c>
      <c r="B180" s="15">
        <v>3</v>
      </c>
      <c r="C180" s="19" t="s">
        <v>96</v>
      </c>
      <c r="D180" s="5"/>
      <c r="E180" s="5">
        <f>235000+80000+45000</f>
        <v>360000</v>
      </c>
      <c r="F180" s="6">
        <f t="shared" si="12"/>
        <v>360000</v>
      </c>
      <c r="G180" s="5"/>
      <c r="H180" s="5">
        <f>80000+35000+260000</f>
        <v>375000</v>
      </c>
      <c r="I180" s="6">
        <f t="shared" si="13"/>
        <v>375000</v>
      </c>
    </row>
    <row r="181" spans="1:9" ht="15">
      <c r="A181" s="15">
        <v>91</v>
      </c>
      <c r="B181" s="15">
        <v>4</v>
      </c>
      <c r="C181" s="19" t="s">
        <v>97</v>
      </c>
      <c r="D181" s="5"/>
      <c r="E181" s="5"/>
      <c r="F181" s="6">
        <f t="shared" si="12"/>
        <v>0</v>
      </c>
      <c r="G181" s="5">
        <v>650000</v>
      </c>
      <c r="H181" s="5">
        <v>450000</v>
      </c>
      <c r="I181" s="6">
        <f t="shared" si="13"/>
        <v>1100000</v>
      </c>
    </row>
    <row r="182" spans="1:9" ht="15">
      <c r="A182" s="15">
        <v>92</v>
      </c>
      <c r="B182" s="15">
        <v>5</v>
      </c>
      <c r="C182" s="19" t="s">
        <v>98</v>
      </c>
      <c r="D182" s="5"/>
      <c r="E182" s="5"/>
      <c r="F182" s="6">
        <f t="shared" si="12"/>
        <v>0</v>
      </c>
      <c r="G182" s="5"/>
      <c r="H182" s="5"/>
      <c r="I182" s="6">
        <f t="shared" si="13"/>
        <v>0</v>
      </c>
    </row>
    <row r="183" spans="1:9" ht="15">
      <c r="A183" s="15">
        <v>93</v>
      </c>
      <c r="B183" s="15">
        <v>6</v>
      </c>
      <c r="C183" s="20" t="s">
        <v>99</v>
      </c>
      <c r="D183" s="5"/>
      <c r="E183" s="5"/>
      <c r="F183" s="6">
        <f t="shared" si="12"/>
        <v>0</v>
      </c>
      <c r="G183" s="5">
        <f>20000000*2</f>
        <v>40000000</v>
      </c>
      <c r="H183" s="5"/>
      <c r="I183" s="6">
        <f t="shared" si="13"/>
        <v>40000000</v>
      </c>
    </row>
    <row r="184" spans="1:9" ht="15">
      <c r="A184" s="15">
        <v>94</v>
      </c>
      <c r="B184" s="15">
        <v>7</v>
      </c>
      <c r="C184" s="19" t="s">
        <v>100</v>
      </c>
      <c r="D184" s="5"/>
      <c r="E184" s="5"/>
      <c r="F184" s="6">
        <f t="shared" si="12"/>
        <v>0</v>
      </c>
      <c r="G184" s="5"/>
      <c r="H184" s="5"/>
      <c r="I184" s="6">
        <f t="shared" si="13"/>
        <v>0</v>
      </c>
    </row>
    <row r="185" spans="1:9" ht="15">
      <c r="A185" s="15">
        <v>95</v>
      </c>
      <c r="B185" s="15">
        <v>8</v>
      </c>
      <c r="C185" s="19" t="s">
        <v>101</v>
      </c>
      <c r="D185" s="5"/>
      <c r="E185" s="5"/>
      <c r="F185" s="6">
        <f t="shared" si="12"/>
        <v>0</v>
      </c>
      <c r="G185" s="5"/>
      <c r="H185" s="5"/>
      <c r="I185" s="6">
        <f t="shared" si="13"/>
        <v>0</v>
      </c>
    </row>
    <row r="186" spans="1:9" ht="15">
      <c r="A186" s="15">
        <v>96</v>
      </c>
      <c r="B186" s="15">
        <v>9</v>
      </c>
      <c r="C186" s="19" t="s">
        <v>102</v>
      </c>
      <c r="D186" s="5"/>
      <c r="E186" s="5"/>
      <c r="F186" s="6">
        <f t="shared" si="12"/>
        <v>0</v>
      </c>
      <c r="G186" s="5"/>
      <c r="H186" s="5"/>
      <c r="I186" s="6">
        <f t="shared" si="13"/>
        <v>0</v>
      </c>
    </row>
    <row r="187" spans="1:9" ht="15">
      <c r="A187" s="15">
        <v>97</v>
      </c>
      <c r="B187" s="15">
        <v>10</v>
      </c>
      <c r="C187" s="19" t="s">
        <v>103</v>
      </c>
      <c r="D187" s="5">
        <v>93500</v>
      </c>
      <c r="E187" s="5">
        <v>1500</v>
      </c>
      <c r="F187" s="6">
        <f t="shared" si="12"/>
        <v>95000</v>
      </c>
      <c r="G187" s="5"/>
      <c r="H187" s="5"/>
      <c r="I187" s="6">
        <f t="shared" si="13"/>
        <v>0</v>
      </c>
    </row>
    <row r="188" spans="1:9" ht="15">
      <c r="A188" s="15">
        <v>98</v>
      </c>
      <c r="B188" s="15">
        <v>11</v>
      </c>
      <c r="C188" s="19" t="s">
        <v>104</v>
      </c>
      <c r="D188" s="5">
        <f>5604443+5366179</f>
        <v>10970622</v>
      </c>
      <c r="E188" s="5"/>
      <c r="F188" s="6">
        <f t="shared" si="12"/>
        <v>10970622</v>
      </c>
      <c r="G188" s="5"/>
      <c r="H188" s="5"/>
      <c r="I188" s="6">
        <f t="shared" si="13"/>
        <v>0</v>
      </c>
    </row>
    <row r="189" spans="1:9" ht="15">
      <c r="A189" s="15">
        <v>99</v>
      </c>
      <c r="B189" s="15">
        <v>12</v>
      </c>
      <c r="C189" s="19" t="s">
        <v>105</v>
      </c>
      <c r="D189" s="5"/>
      <c r="E189" s="5"/>
      <c r="F189" s="6">
        <f t="shared" si="12"/>
        <v>0</v>
      </c>
      <c r="G189" s="5"/>
      <c r="H189" s="5"/>
      <c r="I189" s="6">
        <f t="shared" si="13"/>
        <v>0</v>
      </c>
    </row>
    <row r="190" spans="1:9" ht="15">
      <c r="A190" s="15">
        <v>100</v>
      </c>
      <c r="B190" s="15">
        <v>13</v>
      </c>
      <c r="C190" s="19" t="s">
        <v>106</v>
      </c>
      <c r="D190" s="5"/>
      <c r="E190" s="5"/>
      <c r="F190" s="6">
        <f t="shared" si="12"/>
        <v>0</v>
      </c>
      <c r="G190" s="5"/>
      <c r="H190" s="5">
        <f>84000+84000</f>
        <v>168000</v>
      </c>
      <c r="I190" s="6">
        <f t="shared" si="13"/>
        <v>168000</v>
      </c>
    </row>
    <row r="191" spans="1:9" ht="15">
      <c r="A191" s="15">
        <v>101</v>
      </c>
      <c r="B191" s="15">
        <v>14</v>
      </c>
      <c r="C191" s="19" t="s">
        <v>251</v>
      </c>
      <c r="D191" s="5"/>
      <c r="E191" s="5">
        <v>134000</v>
      </c>
      <c r="F191" s="6">
        <f t="shared" si="12"/>
        <v>134000</v>
      </c>
      <c r="G191" s="5"/>
      <c r="H191" s="5">
        <v>67000</v>
      </c>
      <c r="I191" s="6">
        <f t="shared" si="13"/>
        <v>67000</v>
      </c>
    </row>
    <row r="192" spans="1:9" ht="15">
      <c r="A192" s="15">
        <v>102</v>
      </c>
      <c r="B192" s="15">
        <v>15</v>
      </c>
      <c r="C192" s="19" t="s">
        <v>108</v>
      </c>
      <c r="D192" s="5">
        <v>468000</v>
      </c>
      <c r="E192" s="5">
        <v>430000</v>
      </c>
      <c r="F192" s="6">
        <f t="shared" si="12"/>
        <v>898000</v>
      </c>
      <c r="G192" s="5">
        <v>468000</v>
      </c>
      <c r="H192" s="5">
        <v>435000</v>
      </c>
      <c r="I192" s="6">
        <f t="shared" si="13"/>
        <v>903000</v>
      </c>
    </row>
    <row r="193" spans="1:9" ht="15">
      <c r="A193" s="15">
        <v>103</v>
      </c>
      <c r="B193" s="15">
        <v>16</v>
      </c>
      <c r="C193" s="19" t="s">
        <v>109</v>
      </c>
      <c r="D193" s="5">
        <v>894000</v>
      </c>
      <c r="E193" s="5">
        <f>406000+325000</f>
        <v>731000</v>
      </c>
      <c r="F193" s="6">
        <f t="shared" si="12"/>
        <v>1625000</v>
      </c>
      <c r="G193" s="5">
        <v>894000</v>
      </c>
      <c r="H193" s="5">
        <f>402000+325000</f>
        <v>727000</v>
      </c>
      <c r="I193" s="6">
        <f t="shared" si="13"/>
        <v>1621000</v>
      </c>
    </row>
    <row r="194" spans="1:9" ht="15">
      <c r="A194" s="15">
        <v>104</v>
      </c>
      <c r="B194" s="15">
        <v>17</v>
      </c>
      <c r="C194" s="19" t="s">
        <v>110</v>
      </c>
      <c r="D194" s="5"/>
      <c r="E194" s="5"/>
      <c r="F194" s="6">
        <f t="shared" si="12"/>
        <v>0</v>
      </c>
      <c r="G194" s="5"/>
      <c r="H194" s="5"/>
      <c r="I194" s="6">
        <f t="shared" si="13"/>
        <v>0</v>
      </c>
    </row>
    <row r="195" spans="1:9" ht="15">
      <c r="A195" s="15">
        <v>105</v>
      </c>
      <c r="B195" s="15">
        <v>18</v>
      </c>
      <c r="C195" s="19" t="s">
        <v>111</v>
      </c>
      <c r="D195" s="5"/>
      <c r="E195" s="5"/>
      <c r="F195" s="6">
        <f t="shared" si="12"/>
        <v>0</v>
      </c>
      <c r="G195" s="5"/>
      <c r="H195" s="5"/>
      <c r="I195" s="6">
        <f t="shared" si="13"/>
        <v>0</v>
      </c>
    </row>
    <row r="196" spans="1:9" ht="15">
      <c r="A196" s="15">
        <v>106</v>
      </c>
      <c r="B196" s="15">
        <v>19</v>
      </c>
      <c r="C196" s="19" t="s">
        <v>112</v>
      </c>
      <c r="D196" s="5"/>
      <c r="E196" s="5"/>
      <c r="F196" s="6">
        <f t="shared" si="12"/>
        <v>0</v>
      </c>
      <c r="G196" s="5"/>
      <c r="H196" s="5"/>
      <c r="I196" s="6">
        <f t="shared" si="13"/>
        <v>0</v>
      </c>
    </row>
    <row r="197" spans="1:9" ht="15">
      <c r="A197" s="15">
        <v>107</v>
      </c>
      <c r="B197" s="15">
        <v>20</v>
      </c>
      <c r="C197" s="19" t="s">
        <v>113</v>
      </c>
      <c r="D197" s="5"/>
      <c r="E197" s="5"/>
      <c r="F197" s="6">
        <f t="shared" si="12"/>
        <v>0</v>
      </c>
      <c r="G197" s="5"/>
      <c r="H197" s="5"/>
      <c r="I197" s="6">
        <f t="shared" si="13"/>
        <v>0</v>
      </c>
    </row>
    <row r="198" spans="1:9" ht="15">
      <c r="A198" s="15">
        <v>108</v>
      </c>
      <c r="B198" s="15">
        <v>21</v>
      </c>
      <c r="C198" s="19" t="s">
        <v>114</v>
      </c>
      <c r="D198" s="5"/>
      <c r="E198" s="5"/>
      <c r="F198" s="6">
        <f>SUM(D198:E198)</f>
        <v>0</v>
      </c>
      <c r="G198" s="5"/>
      <c r="H198" s="5"/>
      <c r="I198" s="6">
        <f>SUM(G198:H198)</f>
        <v>0</v>
      </c>
    </row>
    <row r="199" spans="1:9" ht="15">
      <c r="A199" s="15">
        <v>109</v>
      </c>
      <c r="B199" s="15">
        <v>22</v>
      </c>
      <c r="C199" s="19" t="s">
        <v>115</v>
      </c>
      <c r="D199" s="5"/>
      <c r="E199" s="5"/>
      <c r="F199" s="6">
        <f t="shared" si="12"/>
        <v>0</v>
      </c>
      <c r="G199" s="5"/>
      <c r="H199" s="5"/>
      <c r="I199" s="6">
        <f>SUM(G199:H199)</f>
        <v>0</v>
      </c>
    </row>
    <row r="200" spans="1:9" ht="15">
      <c r="A200" s="15">
        <v>110</v>
      </c>
      <c r="B200" s="15">
        <v>23</v>
      </c>
      <c r="C200" s="19" t="s">
        <v>116</v>
      </c>
      <c r="D200" s="5"/>
      <c r="E200" s="5"/>
      <c r="F200" s="6">
        <f t="shared" si="12"/>
        <v>0</v>
      </c>
      <c r="G200" s="5"/>
      <c r="H200" s="5"/>
      <c r="I200" s="6">
        <f>SUM(G200:H200)</f>
        <v>0</v>
      </c>
    </row>
    <row r="201" spans="1:9" ht="15">
      <c r="A201" s="224" t="s">
        <v>5</v>
      </c>
      <c r="B201" s="225"/>
      <c r="C201" s="225"/>
      <c r="D201" s="7">
        <f>SUM(D178:D200)</f>
        <v>13827667</v>
      </c>
      <c r="E201" s="7">
        <f>SUM(E178:E200)</f>
        <v>1784000</v>
      </c>
      <c r="F201" s="7">
        <f>SUM(D201:E201)</f>
        <v>15611667</v>
      </c>
      <c r="G201" s="7">
        <f>SUM(G178:G200)</f>
        <v>43438555</v>
      </c>
      <c r="H201" s="7">
        <f>SUM(H178:H200)</f>
        <v>2348000</v>
      </c>
      <c r="I201" s="7">
        <f>SUM(G201:H201)</f>
        <v>45786555</v>
      </c>
    </row>
    <row r="202" spans="1:9" ht="15">
      <c r="A202" s="224" t="s">
        <v>117</v>
      </c>
      <c r="B202" s="225"/>
      <c r="C202" s="225"/>
      <c r="D202" s="225"/>
      <c r="E202" s="225"/>
      <c r="F202" s="225"/>
      <c r="G202" s="225"/>
      <c r="H202" s="225"/>
      <c r="I202" s="226"/>
    </row>
    <row r="203" spans="1:9" ht="15">
      <c r="A203" s="15">
        <v>111</v>
      </c>
      <c r="B203" s="15">
        <v>1</v>
      </c>
      <c r="C203" s="10" t="s">
        <v>118</v>
      </c>
      <c r="D203" s="5"/>
      <c r="E203" s="5">
        <v>40000</v>
      </c>
      <c r="F203" s="6">
        <f>SUM(D203:E203)</f>
        <v>40000</v>
      </c>
      <c r="G203" s="5"/>
      <c r="H203" s="5"/>
      <c r="I203" s="6">
        <f>SUM(G203:H203)</f>
        <v>0</v>
      </c>
    </row>
    <row r="204" spans="1:9" ht="15">
      <c r="A204" s="15">
        <v>112</v>
      </c>
      <c r="B204" s="15">
        <v>2</v>
      </c>
      <c r="C204" s="17" t="s">
        <v>119</v>
      </c>
      <c r="D204" s="5">
        <v>368889</v>
      </c>
      <c r="E204" s="5">
        <v>72200</v>
      </c>
      <c r="F204" s="6">
        <f aca="true" t="shared" si="14" ref="F204:F254">SUM(D204:E204)</f>
        <v>441089</v>
      </c>
      <c r="G204" s="5">
        <v>372421</v>
      </c>
      <c r="H204" s="5">
        <v>72200</v>
      </c>
      <c r="I204" s="6">
        <f aca="true" t="shared" si="15" ref="I204:I212">SUM(G204:H204)</f>
        <v>444621</v>
      </c>
    </row>
    <row r="205" spans="1:9" ht="15">
      <c r="A205" s="15">
        <v>113</v>
      </c>
      <c r="B205" s="15">
        <v>3</v>
      </c>
      <c r="C205" s="17" t="s">
        <v>120</v>
      </c>
      <c r="D205" s="5"/>
      <c r="E205" s="5"/>
      <c r="F205" s="6">
        <f t="shared" si="14"/>
        <v>0</v>
      </c>
      <c r="G205" s="5"/>
      <c r="H205" s="5">
        <v>270000</v>
      </c>
      <c r="I205" s="6">
        <f t="shared" si="15"/>
        <v>270000</v>
      </c>
    </row>
    <row r="206" spans="1:9" ht="15">
      <c r="A206" s="15">
        <v>114</v>
      </c>
      <c r="B206" s="15">
        <v>4</v>
      </c>
      <c r="C206" s="10" t="s">
        <v>121</v>
      </c>
      <c r="D206" s="5"/>
      <c r="E206" s="5"/>
      <c r="F206" s="6">
        <f t="shared" si="14"/>
        <v>0</v>
      </c>
      <c r="G206" s="5">
        <v>1206000</v>
      </c>
      <c r="H206" s="5">
        <v>126000</v>
      </c>
      <c r="I206" s="6">
        <f t="shared" si="15"/>
        <v>1332000</v>
      </c>
    </row>
    <row r="207" spans="1:9" ht="15">
      <c r="A207" s="15">
        <v>115</v>
      </c>
      <c r="B207" s="15">
        <v>5</v>
      </c>
      <c r="C207" s="23" t="s">
        <v>122</v>
      </c>
      <c r="D207" s="5"/>
      <c r="E207" s="5"/>
      <c r="F207" s="6">
        <f t="shared" si="14"/>
        <v>0</v>
      </c>
      <c r="G207" s="5"/>
      <c r="H207" s="5"/>
      <c r="I207" s="6">
        <f t="shared" si="15"/>
        <v>0</v>
      </c>
    </row>
    <row r="208" spans="1:9" ht="15">
      <c r="A208" s="15">
        <v>116</v>
      </c>
      <c r="B208" s="15">
        <v>6</v>
      </c>
      <c r="C208" s="23" t="s">
        <v>123</v>
      </c>
      <c r="D208" s="5">
        <v>192600</v>
      </c>
      <c r="E208" s="5">
        <v>350000</v>
      </c>
      <c r="F208" s="6">
        <f t="shared" si="14"/>
        <v>542600</v>
      </c>
      <c r="G208" s="5">
        <v>195300</v>
      </c>
      <c r="H208" s="5">
        <v>350000</v>
      </c>
      <c r="I208" s="6">
        <f t="shared" si="15"/>
        <v>545300</v>
      </c>
    </row>
    <row r="209" spans="1:9" ht="15">
      <c r="A209" s="15">
        <v>117</v>
      </c>
      <c r="B209" s="15">
        <v>7</v>
      </c>
      <c r="C209" s="23" t="s">
        <v>124</v>
      </c>
      <c r="D209" s="5"/>
      <c r="E209" s="5"/>
      <c r="F209" s="6">
        <f t="shared" si="14"/>
        <v>0</v>
      </c>
      <c r="G209" s="5"/>
      <c r="H209" s="5"/>
      <c r="I209" s="6">
        <f t="shared" si="15"/>
        <v>0</v>
      </c>
    </row>
    <row r="210" spans="1:9" ht="15">
      <c r="A210" s="15">
        <v>118</v>
      </c>
      <c r="B210" s="15">
        <v>8</v>
      </c>
      <c r="C210" s="23" t="s">
        <v>125</v>
      </c>
      <c r="D210" s="5"/>
      <c r="E210" s="5"/>
      <c r="F210" s="6">
        <f t="shared" si="14"/>
        <v>0</v>
      </c>
      <c r="G210" s="5"/>
      <c r="H210" s="5"/>
      <c r="I210" s="6">
        <f t="shared" si="15"/>
        <v>0</v>
      </c>
    </row>
    <row r="211" spans="1:9" ht="15">
      <c r="A211" s="15">
        <v>119</v>
      </c>
      <c r="B211" s="15">
        <v>9</v>
      </c>
      <c r="C211" s="23" t="s">
        <v>126</v>
      </c>
      <c r="D211" s="5"/>
      <c r="E211" s="5"/>
      <c r="F211" s="6">
        <f t="shared" si="14"/>
        <v>0</v>
      </c>
      <c r="G211" s="5"/>
      <c r="H211" s="5"/>
      <c r="I211" s="6">
        <f t="shared" si="15"/>
        <v>0</v>
      </c>
    </row>
    <row r="212" spans="1:9" ht="15">
      <c r="A212" s="15">
        <v>120</v>
      </c>
      <c r="B212" s="15">
        <v>10</v>
      </c>
      <c r="C212" s="23" t="s">
        <v>127</v>
      </c>
      <c r="D212" s="5"/>
      <c r="E212" s="5">
        <f>317000*3+312000</f>
        <v>1263000</v>
      </c>
      <c r="F212" s="6">
        <f t="shared" si="14"/>
        <v>1263000</v>
      </c>
      <c r="G212" s="5"/>
      <c r="H212" s="5"/>
      <c r="I212" s="6">
        <f t="shared" si="15"/>
        <v>0</v>
      </c>
    </row>
    <row r="213" spans="1:9" ht="15">
      <c r="A213" s="15">
        <v>121</v>
      </c>
      <c r="B213" s="15">
        <v>11</v>
      </c>
      <c r="C213" s="23" t="s">
        <v>129</v>
      </c>
      <c r="D213" s="5"/>
      <c r="E213" s="5"/>
      <c r="F213" s="6">
        <f>SUM(D213:E213)</f>
        <v>0</v>
      </c>
      <c r="G213" s="5"/>
      <c r="H213" s="5"/>
      <c r="I213" s="6">
        <f>SUM(G213:H213)</f>
        <v>0</v>
      </c>
    </row>
    <row r="214" spans="1:9" ht="15">
      <c r="A214" s="15">
        <v>122</v>
      </c>
      <c r="B214" s="15">
        <v>12</v>
      </c>
      <c r="C214" s="24" t="s">
        <v>128</v>
      </c>
      <c r="D214" s="86"/>
      <c r="E214" s="5">
        <v>400000</v>
      </c>
      <c r="F214" s="6">
        <f>SUM(D214:E214)</f>
        <v>400000</v>
      </c>
      <c r="G214" s="86"/>
      <c r="H214" s="5">
        <v>400000</v>
      </c>
      <c r="I214" s="6">
        <f>SUM(G214:H214)</f>
        <v>400000</v>
      </c>
    </row>
    <row r="215" spans="1:9" ht="15">
      <c r="A215" s="15">
        <v>123</v>
      </c>
      <c r="B215" s="15">
        <v>13</v>
      </c>
      <c r="C215" s="23" t="s">
        <v>130</v>
      </c>
      <c r="D215" s="5"/>
      <c r="E215" s="5"/>
      <c r="F215" s="6">
        <f t="shared" si="14"/>
        <v>0</v>
      </c>
      <c r="G215" s="5"/>
      <c r="H215" s="5"/>
      <c r="I215" s="6">
        <f aca="true" t="shared" si="16" ref="I215:I254">SUM(G215:H215)</f>
        <v>0</v>
      </c>
    </row>
    <row r="216" spans="1:9" ht="15">
      <c r="A216" s="15">
        <v>124</v>
      </c>
      <c r="B216" s="15">
        <v>14</v>
      </c>
      <c r="C216" s="23" t="s">
        <v>131</v>
      </c>
      <c r="D216" s="5"/>
      <c r="E216" s="5"/>
      <c r="F216" s="6">
        <f t="shared" si="14"/>
        <v>0</v>
      </c>
      <c r="G216" s="5"/>
      <c r="H216" s="5"/>
      <c r="I216" s="6">
        <f t="shared" si="16"/>
        <v>0</v>
      </c>
    </row>
    <row r="217" spans="1:9" ht="15">
      <c r="A217" s="15">
        <v>125</v>
      </c>
      <c r="B217" s="15">
        <v>15</v>
      </c>
      <c r="C217" s="23" t="s">
        <v>132</v>
      </c>
      <c r="D217" s="5"/>
      <c r="E217" s="5">
        <v>50000</v>
      </c>
      <c r="F217" s="6">
        <f t="shared" si="14"/>
        <v>50000</v>
      </c>
      <c r="G217" s="5"/>
      <c r="H217" s="5">
        <v>50000</v>
      </c>
      <c r="I217" s="6">
        <f t="shared" si="16"/>
        <v>50000</v>
      </c>
    </row>
    <row r="218" spans="1:9" ht="15">
      <c r="A218" s="15">
        <v>126</v>
      </c>
      <c r="B218" s="15">
        <v>16</v>
      </c>
      <c r="C218" s="23" t="s">
        <v>133</v>
      </c>
      <c r="D218" s="5"/>
      <c r="E218" s="5"/>
      <c r="F218" s="6">
        <f t="shared" si="14"/>
        <v>0</v>
      </c>
      <c r="G218" s="5"/>
      <c r="H218" s="5"/>
      <c r="I218" s="6">
        <f t="shared" si="16"/>
        <v>0</v>
      </c>
    </row>
    <row r="219" spans="1:9" ht="15">
      <c r="A219" s="15">
        <v>127</v>
      </c>
      <c r="B219" s="15">
        <v>17</v>
      </c>
      <c r="C219" s="23" t="s">
        <v>134</v>
      </c>
      <c r="D219" s="5"/>
      <c r="E219" s="5">
        <v>17000</v>
      </c>
      <c r="F219" s="6">
        <f t="shared" si="14"/>
        <v>17000</v>
      </c>
      <c r="G219" s="5"/>
      <c r="H219" s="5">
        <v>17000</v>
      </c>
      <c r="I219" s="6">
        <f t="shared" si="16"/>
        <v>17000</v>
      </c>
    </row>
    <row r="220" spans="1:9" ht="15">
      <c r="A220" s="15">
        <v>128</v>
      </c>
      <c r="B220" s="15">
        <v>18</v>
      </c>
      <c r="C220" s="23" t="s">
        <v>135</v>
      </c>
      <c r="D220" s="5"/>
      <c r="E220" s="5"/>
      <c r="F220" s="6">
        <f t="shared" si="14"/>
        <v>0</v>
      </c>
      <c r="G220" s="5"/>
      <c r="H220" s="5"/>
      <c r="I220" s="6">
        <f t="shared" si="16"/>
        <v>0</v>
      </c>
    </row>
    <row r="221" spans="1:9" ht="15">
      <c r="A221" s="15">
        <v>129</v>
      </c>
      <c r="B221" s="15">
        <v>19</v>
      </c>
      <c r="C221" s="23" t="s">
        <v>136</v>
      </c>
      <c r="D221" s="5"/>
      <c r="E221" s="5">
        <v>187000</v>
      </c>
      <c r="F221" s="6">
        <f t="shared" si="14"/>
        <v>187000</v>
      </c>
      <c r="G221" s="5"/>
      <c r="H221" s="5">
        <v>187000</v>
      </c>
      <c r="I221" s="6">
        <f t="shared" si="16"/>
        <v>187000</v>
      </c>
    </row>
    <row r="222" spans="1:9" ht="15">
      <c r="A222" s="15">
        <v>130</v>
      </c>
      <c r="B222" s="15">
        <v>20</v>
      </c>
      <c r="C222" s="23" t="s">
        <v>137</v>
      </c>
      <c r="D222" s="5"/>
      <c r="E222" s="5"/>
      <c r="F222" s="6">
        <f t="shared" si="14"/>
        <v>0</v>
      </c>
      <c r="G222" s="5"/>
      <c r="H222" s="5"/>
      <c r="I222" s="6">
        <f t="shared" si="16"/>
        <v>0</v>
      </c>
    </row>
    <row r="223" spans="1:9" ht="15">
      <c r="A223" s="15">
        <v>131</v>
      </c>
      <c r="B223" s="15">
        <v>21</v>
      </c>
      <c r="C223" s="23" t="s">
        <v>138</v>
      </c>
      <c r="D223" s="5">
        <v>91000</v>
      </c>
      <c r="E223" s="5">
        <v>145000</v>
      </c>
      <c r="F223" s="6">
        <f t="shared" si="14"/>
        <v>236000</v>
      </c>
      <c r="G223" s="5">
        <v>91000</v>
      </c>
      <c r="H223" s="5">
        <v>145000</v>
      </c>
      <c r="I223" s="6">
        <f t="shared" si="16"/>
        <v>236000</v>
      </c>
    </row>
    <row r="224" spans="1:9" ht="15">
      <c r="A224" s="15">
        <v>132</v>
      </c>
      <c r="B224" s="15">
        <v>22</v>
      </c>
      <c r="C224" s="23" t="s">
        <v>139</v>
      </c>
      <c r="D224" s="5"/>
      <c r="E224" s="5">
        <v>175000</v>
      </c>
      <c r="F224" s="6">
        <f t="shared" si="14"/>
        <v>175000</v>
      </c>
      <c r="G224" s="5"/>
      <c r="H224" s="5">
        <v>175000</v>
      </c>
      <c r="I224" s="6">
        <f t="shared" si="16"/>
        <v>175000</v>
      </c>
    </row>
    <row r="225" spans="1:9" ht="15">
      <c r="A225" s="15">
        <v>133</v>
      </c>
      <c r="B225" s="15">
        <v>23</v>
      </c>
      <c r="C225" s="23" t="s">
        <v>140</v>
      </c>
      <c r="D225" s="5"/>
      <c r="E225" s="5"/>
      <c r="F225" s="6">
        <f t="shared" si="14"/>
        <v>0</v>
      </c>
      <c r="G225" s="5"/>
      <c r="H225" s="5"/>
      <c r="I225" s="6">
        <f t="shared" si="16"/>
        <v>0</v>
      </c>
    </row>
    <row r="226" spans="1:9" ht="15">
      <c r="A226" s="15">
        <v>134</v>
      </c>
      <c r="B226" s="15">
        <v>24</v>
      </c>
      <c r="C226" s="23" t="s">
        <v>141</v>
      </c>
      <c r="D226" s="5">
        <v>154000</v>
      </c>
      <c r="E226" s="5">
        <v>670000</v>
      </c>
      <c r="F226" s="6">
        <f t="shared" si="14"/>
        <v>824000</v>
      </c>
      <c r="G226" s="5">
        <v>154000</v>
      </c>
      <c r="H226" s="5">
        <v>670000</v>
      </c>
      <c r="I226" s="6">
        <f t="shared" si="16"/>
        <v>824000</v>
      </c>
    </row>
    <row r="227" spans="1:9" ht="15">
      <c r="A227" s="15">
        <v>135</v>
      </c>
      <c r="B227" s="15">
        <v>25</v>
      </c>
      <c r="C227" s="23" t="s">
        <v>142</v>
      </c>
      <c r="D227" s="5">
        <v>354000</v>
      </c>
      <c r="E227" s="5"/>
      <c r="F227" s="6">
        <f t="shared" si="14"/>
        <v>354000</v>
      </c>
      <c r="G227" s="5">
        <v>354000</v>
      </c>
      <c r="H227" s="5"/>
      <c r="I227" s="6">
        <f t="shared" si="16"/>
        <v>354000</v>
      </c>
    </row>
    <row r="228" spans="1:9" ht="15">
      <c r="A228" s="15">
        <v>136</v>
      </c>
      <c r="B228" s="15">
        <v>26</v>
      </c>
      <c r="C228" s="23" t="s">
        <v>143</v>
      </c>
      <c r="D228" s="5"/>
      <c r="E228" s="5"/>
      <c r="F228" s="6">
        <f t="shared" si="14"/>
        <v>0</v>
      </c>
      <c r="G228" s="5"/>
      <c r="H228" s="5"/>
      <c r="I228" s="6">
        <f t="shared" si="16"/>
        <v>0</v>
      </c>
    </row>
    <row r="229" spans="1:9" ht="15">
      <c r="A229" s="15">
        <v>137</v>
      </c>
      <c r="B229" s="15">
        <v>27</v>
      </c>
      <c r="C229" s="23" t="s">
        <v>144</v>
      </c>
      <c r="D229" s="5">
        <v>890000</v>
      </c>
      <c r="E229" s="5"/>
      <c r="F229" s="6">
        <f t="shared" si="14"/>
        <v>890000</v>
      </c>
      <c r="G229" s="5">
        <v>890000</v>
      </c>
      <c r="H229" s="5"/>
      <c r="I229" s="6">
        <f t="shared" si="16"/>
        <v>890000</v>
      </c>
    </row>
    <row r="230" spans="1:9" ht="15">
      <c r="A230" s="15">
        <v>138</v>
      </c>
      <c r="B230" s="15">
        <v>28</v>
      </c>
      <c r="C230" s="23" t="s">
        <v>145</v>
      </c>
      <c r="D230" s="5"/>
      <c r="E230" s="5"/>
      <c r="F230" s="6">
        <f t="shared" si="14"/>
        <v>0</v>
      </c>
      <c r="G230" s="5"/>
      <c r="H230" s="5"/>
      <c r="I230" s="6">
        <f t="shared" si="16"/>
        <v>0</v>
      </c>
    </row>
    <row r="231" spans="1:9" ht="15">
      <c r="A231" s="15">
        <v>139</v>
      </c>
      <c r="B231" s="15">
        <v>29</v>
      </c>
      <c r="C231" s="23" t="s">
        <v>146</v>
      </c>
      <c r="D231" s="5"/>
      <c r="E231" s="5"/>
      <c r="F231" s="6">
        <f t="shared" si="14"/>
        <v>0</v>
      </c>
      <c r="G231" s="5"/>
      <c r="H231" s="5"/>
      <c r="I231" s="6">
        <f t="shared" si="16"/>
        <v>0</v>
      </c>
    </row>
    <row r="232" spans="1:9" ht="15">
      <c r="A232" s="15">
        <v>140</v>
      </c>
      <c r="B232" s="15">
        <v>30</v>
      </c>
      <c r="C232" s="23" t="s">
        <v>147</v>
      </c>
      <c r="D232" s="5"/>
      <c r="E232" s="5"/>
      <c r="F232" s="6">
        <f t="shared" si="14"/>
        <v>0</v>
      </c>
      <c r="G232" s="5"/>
      <c r="H232" s="5"/>
      <c r="I232" s="6">
        <f t="shared" si="16"/>
        <v>0</v>
      </c>
    </row>
    <row r="233" spans="1:9" ht="15">
      <c r="A233" s="15">
        <v>141</v>
      </c>
      <c r="B233" s="15">
        <v>31</v>
      </c>
      <c r="C233" s="23" t="s">
        <v>148</v>
      </c>
      <c r="D233" s="5"/>
      <c r="E233" s="5"/>
      <c r="F233" s="6">
        <f t="shared" si="14"/>
        <v>0</v>
      </c>
      <c r="G233" s="5"/>
      <c r="H233" s="5"/>
      <c r="I233" s="6">
        <f t="shared" si="16"/>
        <v>0</v>
      </c>
    </row>
    <row r="234" spans="1:9" ht="15">
      <c r="A234" s="15">
        <v>142</v>
      </c>
      <c r="B234" s="15">
        <v>32</v>
      </c>
      <c r="C234" s="23" t="s">
        <v>149</v>
      </c>
      <c r="D234" s="5"/>
      <c r="E234" s="5">
        <v>112000</v>
      </c>
      <c r="F234" s="6">
        <f t="shared" si="14"/>
        <v>112000</v>
      </c>
      <c r="G234" s="5"/>
      <c r="H234" s="5"/>
      <c r="I234" s="6">
        <f t="shared" si="16"/>
        <v>0</v>
      </c>
    </row>
    <row r="235" spans="1:9" ht="15">
      <c r="A235" s="15">
        <v>143</v>
      </c>
      <c r="B235" s="15">
        <v>33</v>
      </c>
      <c r="C235" s="23" t="s">
        <v>150</v>
      </c>
      <c r="D235" s="5">
        <v>168000</v>
      </c>
      <c r="E235" s="5"/>
      <c r="F235" s="6">
        <f t="shared" si="14"/>
        <v>168000</v>
      </c>
      <c r="G235" s="5"/>
      <c r="H235" s="5">
        <v>84000</v>
      </c>
      <c r="I235" s="6">
        <f t="shared" si="16"/>
        <v>84000</v>
      </c>
    </row>
    <row r="236" spans="1:9" ht="15">
      <c r="A236" s="15">
        <v>144</v>
      </c>
      <c r="B236" s="15">
        <v>34</v>
      </c>
      <c r="C236" s="23" t="s">
        <v>151</v>
      </c>
      <c r="D236" s="5"/>
      <c r="E236" s="5"/>
      <c r="F236" s="6">
        <f t="shared" si="14"/>
        <v>0</v>
      </c>
      <c r="G236" s="5"/>
      <c r="H236" s="5"/>
      <c r="I236" s="6">
        <f t="shared" si="16"/>
        <v>0</v>
      </c>
    </row>
    <row r="237" spans="1:9" ht="15">
      <c r="A237" s="15">
        <v>145</v>
      </c>
      <c r="B237" s="15">
        <v>35</v>
      </c>
      <c r="C237" s="23" t="s">
        <v>152</v>
      </c>
      <c r="D237" s="5"/>
      <c r="E237" s="5"/>
      <c r="F237" s="6">
        <f t="shared" si="14"/>
        <v>0</v>
      </c>
      <c r="G237" s="5"/>
      <c r="H237" s="5"/>
      <c r="I237" s="6">
        <f t="shared" si="16"/>
        <v>0</v>
      </c>
    </row>
    <row r="238" spans="1:9" ht="15">
      <c r="A238" s="15">
        <v>146</v>
      </c>
      <c r="B238" s="15">
        <v>36</v>
      </c>
      <c r="C238" s="23" t="s">
        <v>153</v>
      </c>
      <c r="D238" s="5"/>
      <c r="E238" s="5"/>
      <c r="F238" s="6">
        <f t="shared" si="14"/>
        <v>0</v>
      </c>
      <c r="G238" s="5"/>
      <c r="H238" s="5"/>
      <c r="I238" s="6">
        <f t="shared" si="16"/>
        <v>0</v>
      </c>
    </row>
    <row r="239" spans="1:9" ht="15">
      <c r="A239" s="15">
        <v>147</v>
      </c>
      <c r="B239" s="15">
        <v>37</v>
      </c>
      <c r="C239" s="23" t="s">
        <v>154</v>
      </c>
      <c r="D239" s="5"/>
      <c r="E239" s="5"/>
      <c r="F239" s="6">
        <f t="shared" si="14"/>
        <v>0</v>
      </c>
      <c r="G239" s="5"/>
      <c r="H239" s="5"/>
      <c r="I239" s="6">
        <f t="shared" si="16"/>
        <v>0</v>
      </c>
    </row>
    <row r="240" spans="1:9" ht="15">
      <c r="A240" s="15">
        <v>148</v>
      </c>
      <c r="B240" s="15">
        <v>38</v>
      </c>
      <c r="C240" s="23" t="s">
        <v>155</v>
      </c>
      <c r="D240" s="5"/>
      <c r="E240" s="5"/>
      <c r="F240" s="6">
        <f t="shared" si="14"/>
        <v>0</v>
      </c>
      <c r="G240" s="5"/>
      <c r="H240" s="5"/>
      <c r="I240" s="6">
        <f t="shared" si="16"/>
        <v>0</v>
      </c>
    </row>
    <row r="241" spans="1:9" ht="15">
      <c r="A241" s="15">
        <v>149</v>
      </c>
      <c r="B241" s="15">
        <v>39</v>
      </c>
      <c r="C241" s="23" t="s">
        <v>156</v>
      </c>
      <c r="D241" s="5"/>
      <c r="E241" s="5">
        <v>330000</v>
      </c>
      <c r="F241" s="6">
        <f t="shared" si="14"/>
        <v>330000</v>
      </c>
      <c r="G241" s="5"/>
      <c r="H241" s="5">
        <v>330000</v>
      </c>
      <c r="I241" s="6">
        <f t="shared" si="16"/>
        <v>330000</v>
      </c>
    </row>
    <row r="242" spans="1:9" ht="15">
      <c r="A242" s="15">
        <v>150</v>
      </c>
      <c r="B242" s="15">
        <v>40</v>
      </c>
      <c r="C242" s="23" t="s">
        <v>157</v>
      </c>
      <c r="D242" s="5"/>
      <c r="E242" s="5"/>
      <c r="F242" s="6">
        <f t="shared" si="14"/>
        <v>0</v>
      </c>
      <c r="G242" s="5"/>
      <c r="H242" s="5"/>
      <c r="I242" s="6">
        <f t="shared" si="16"/>
        <v>0</v>
      </c>
    </row>
    <row r="243" spans="1:9" ht="15">
      <c r="A243" s="15">
        <v>151</v>
      </c>
      <c r="B243" s="15">
        <v>41</v>
      </c>
      <c r="C243" s="23" t="s">
        <v>158</v>
      </c>
      <c r="D243" s="5"/>
      <c r="E243" s="5"/>
      <c r="F243" s="6">
        <f t="shared" si="14"/>
        <v>0</v>
      </c>
      <c r="G243" s="5"/>
      <c r="H243" s="5"/>
      <c r="I243" s="6">
        <f t="shared" si="16"/>
        <v>0</v>
      </c>
    </row>
    <row r="244" spans="1:9" ht="15">
      <c r="A244" s="15">
        <v>152</v>
      </c>
      <c r="B244" s="15">
        <v>42</v>
      </c>
      <c r="C244" s="23" t="s">
        <v>159</v>
      </c>
      <c r="D244" s="5"/>
      <c r="E244" s="5"/>
      <c r="F244" s="6">
        <f t="shared" si="14"/>
        <v>0</v>
      </c>
      <c r="G244" s="5"/>
      <c r="H244" s="5"/>
      <c r="I244" s="6">
        <f t="shared" si="16"/>
        <v>0</v>
      </c>
    </row>
    <row r="245" spans="1:9" ht="15">
      <c r="A245" s="15">
        <v>153</v>
      </c>
      <c r="B245" s="15">
        <v>43</v>
      </c>
      <c r="C245" s="23" t="s">
        <v>160</v>
      </c>
      <c r="D245" s="5"/>
      <c r="E245" s="5"/>
      <c r="F245" s="6">
        <f t="shared" si="14"/>
        <v>0</v>
      </c>
      <c r="G245" s="5"/>
      <c r="H245" s="5">
        <v>220000</v>
      </c>
      <c r="I245" s="6">
        <f t="shared" si="16"/>
        <v>220000</v>
      </c>
    </row>
    <row r="246" spans="1:9" ht="15">
      <c r="A246" s="15">
        <v>154</v>
      </c>
      <c r="B246" s="15">
        <v>44</v>
      </c>
      <c r="C246" s="23" t="s">
        <v>161</v>
      </c>
      <c r="D246" s="5"/>
      <c r="E246" s="5"/>
      <c r="F246" s="6">
        <f t="shared" si="14"/>
        <v>0</v>
      </c>
      <c r="G246" s="5"/>
      <c r="H246" s="5"/>
      <c r="I246" s="6">
        <f t="shared" si="16"/>
        <v>0</v>
      </c>
    </row>
    <row r="247" spans="1:9" ht="15">
      <c r="A247" s="15">
        <v>155</v>
      </c>
      <c r="B247" s="15">
        <v>45</v>
      </c>
      <c r="C247" s="23" t="s">
        <v>246</v>
      </c>
      <c r="D247" s="5"/>
      <c r="E247" s="5"/>
      <c r="F247" s="6">
        <f>SUM(D247:E247)</f>
        <v>0</v>
      </c>
      <c r="G247" s="5"/>
      <c r="H247" s="5"/>
      <c r="I247" s="6">
        <f>SUM(G247:H247)</f>
        <v>0</v>
      </c>
    </row>
    <row r="248" spans="1:9" ht="15">
      <c r="A248" s="15">
        <v>156</v>
      </c>
      <c r="B248" s="15">
        <v>46</v>
      </c>
      <c r="C248" s="23" t="s">
        <v>169</v>
      </c>
      <c r="D248" s="5"/>
      <c r="E248" s="5"/>
      <c r="F248" s="6">
        <f>SUM(D248:E248)</f>
        <v>0</v>
      </c>
      <c r="G248" s="5"/>
      <c r="H248" s="5"/>
      <c r="I248" s="6">
        <f>SUM(G248:H248)</f>
        <v>0</v>
      </c>
    </row>
    <row r="249" spans="1:9" ht="15">
      <c r="A249" s="15">
        <v>157</v>
      </c>
      <c r="B249" s="15">
        <v>47</v>
      </c>
      <c r="C249" s="25" t="s">
        <v>170</v>
      </c>
      <c r="D249" s="5">
        <v>950000</v>
      </c>
      <c r="E249" s="5"/>
      <c r="F249" s="6">
        <f>SUM(D249:E249)</f>
        <v>950000</v>
      </c>
      <c r="G249" s="5">
        <v>950000</v>
      </c>
      <c r="H249" s="5"/>
      <c r="I249" s="6">
        <f>SUM(G249:H249)</f>
        <v>950000</v>
      </c>
    </row>
    <row r="250" spans="1:9" ht="15">
      <c r="A250" s="15">
        <v>158</v>
      </c>
      <c r="B250" s="15">
        <v>48</v>
      </c>
      <c r="C250" s="23" t="s">
        <v>162</v>
      </c>
      <c r="D250" s="5"/>
      <c r="E250" s="5"/>
      <c r="F250" s="6">
        <f t="shared" si="14"/>
        <v>0</v>
      </c>
      <c r="G250" s="5"/>
      <c r="H250" s="5"/>
      <c r="I250" s="6">
        <f t="shared" si="16"/>
        <v>0</v>
      </c>
    </row>
    <row r="251" spans="1:9" ht="15">
      <c r="A251" s="15">
        <v>159</v>
      </c>
      <c r="B251" s="15">
        <v>49</v>
      </c>
      <c r="C251" s="23" t="s">
        <v>165</v>
      </c>
      <c r="D251" s="5">
        <v>1000000</v>
      </c>
      <c r="E251" s="5"/>
      <c r="F251" s="6">
        <f t="shared" si="14"/>
        <v>1000000</v>
      </c>
      <c r="G251" s="5">
        <v>1000000</v>
      </c>
      <c r="H251" s="5"/>
      <c r="I251" s="6">
        <f t="shared" si="16"/>
        <v>1000000</v>
      </c>
    </row>
    <row r="252" spans="1:9" ht="15">
      <c r="A252" s="15">
        <v>160</v>
      </c>
      <c r="B252" s="15">
        <v>50</v>
      </c>
      <c r="C252" s="23" t="s">
        <v>166</v>
      </c>
      <c r="D252" s="5">
        <v>1500000</v>
      </c>
      <c r="E252" s="5"/>
      <c r="F252" s="6">
        <f t="shared" si="14"/>
        <v>1500000</v>
      </c>
      <c r="G252" s="5"/>
      <c r="H252" s="5"/>
      <c r="I252" s="6">
        <f t="shared" si="16"/>
        <v>0</v>
      </c>
    </row>
    <row r="253" spans="1:9" ht="15">
      <c r="A253" s="15">
        <v>161</v>
      </c>
      <c r="B253" s="15">
        <v>51</v>
      </c>
      <c r="C253" s="23" t="s">
        <v>167</v>
      </c>
      <c r="D253" s="5">
        <v>1700000</v>
      </c>
      <c r="E253" s="5"/>
      <c r="F253" s="6">
        <f t="shared" si="14"/>
        <v>1700000</v>
      </c>
      <c r="G253" s="5">
        <v>1700000</v>
      </c>
      <c r="H253" s="5"/>
      <c r="I253" s="6">
        <f t="shared" si="16"/>
        <v>1700000</v>
      </c>
    </row>
    <row r="254" spans="1:9" ht="15">
      <c r="A254" s="15">
        <v>162</v>
      </c>
      <c r="B254" s="15">
        <v>52</v>
      </c>
      <c r="C254" s="23" t="s">
        <v>168</v>
      </c>
      <c r="D254" s="5"/>
      <c r="E254" s="5"/>
      <c r="F254" s="6">
        <f t="shared" si="14"/>
        <v>0</v>
      </c>
      <c r="G254" s="5">
        <v>3000000</v>
      </c>
      <c r="H254" s="5"/>
      <c r="I254" s="6">
        <f t="shared" si="16"/>
        <v>3000000</v>
      </c>
    </row>
    <row r="255" spans="1:9" ht="15">
      <c r="A255" s="15">
        <v>163</v>
      </c>
      <c r="B255" s="15">
        <v>53</v>
      </c>
      <c r="C255" s="23" t="s">
        <v>163</v>
      </c>
      <c r="D255" s="5">
        <v>750000</v>
      </c>
      <c r="E255" s="5"/>
      <c r="F255" s="6">
        <f>SUM(D255:E255)</f>
        <v>750000</v>
      </c>
      <c r="G255" s="5">
        <v>750000</v>
      </c>
      <c r="H255" s="5"/>
      <c r="I255" s="6">
        <f>SUM(G255:H255)</f>
        <v>750000</v>
      </c>
    </row>
    <row r="256" spans="1:9" ht="15">
      <c r="A256" s="15">
        <v>164</v>
      </c>
      <c r="B256" s="15">
        <v>54</v>
      </c>
      <c r="C256" s="23" t="s">
        <v>164</v>
      </c>
      <c r="D256" s="5">
        <v>350000</v>
      </c>
      <c r="E256" s="5"/>
      <c r="F256" s="6">
        <f>SUM(D256:E256)</f>
        <v>350000</v>
      </c>
      <c r="G256" s="5"/>
      <c r="H256" s="5"/>
      <c r="I256" s="6">
        <f>SUM(G256:H256)</f>
        <v>0</v>
      </c>
    </row>
    <row r="257" spans="1:9" ht="15">
      <c r="A257" s="15">
        <v>165</v>
      </c>
      <c r="B257" s="15">
        <v>55</v>
      </c>
      <c r="C257" s="23" t="s">
        <v>247</v>
      </c>
      <c r="D257" s="5">
        <v>210000</v>
      </c>
      <c r="E257" s="5"/>
      <c r="F257" s="6">
        <f>SUM(D257:E257)</f>
        <v>210000</v>
      </c>
      <c r="G257" s="5"/>
      <c r="H257" s="5"/>
      <c r="I257" s="6">
        <f>SUM(G257:H257)</f>
        <v>0</v>
      </c>
    </row>
    <row r="258" spans="1:9" ht="15">
      <c r="A258" s="239" t="s">
        <v>5</v>
      </c>
      <c r="B258" s="239"/>
      <c r="C258" s="239"/>
      <c r="D258" s="7">
        <f>SUM(D203:D257)</f>
        <v>8678489</v>
      </c>
      <c r="E258" s="7">
        <f>SUM(E203:E257)</f>
        <v>3811200</v>
      </c>
      <c r="F258" s="7">
        <f>SUM(D258:E258)</f>
        <v>12489689</v>
      </c>
      <c r="G258" s="7">
        <f>SUM(G203:G257)</f>
        <v>10662721</v>
      </c>
      <c r="H258" s="7">
        <f>SUM(H203:H257)</f>
        <v>3096200</v>
      </c>
      <c r="I258" s="7">
        <f>SUM(G258:H258)</f>
        <v>13758921</v>
      </c>
    </row>
    <row r="259" spans="1:9" ht="15">
      <c r="A259" s="224" t="s">
        <v>171</v>
      </c>
      <c r="B259" s="225"/>
      <c r="C259" s="225"/>
      <c r="D259" s="225"/>
      <c r="E259" s="225"/>
      <c r="F259" s="225"/>
      <c r="G259" s="225"/>
      <c r="H259" s="225"/>
      <c r="I259" s="226"/>
    </row>
    <row r="260" spans="1:9" ht="15">
      <c r="A260" s="15">
        <v>166</v>
      </c>
      <c r="B260" s="15">
        <v>1</v>
      </c>
      <c r="C260" s="20" t="s">
        <v>172</v>
      </c>
      <c r="D260" s="5">
        <v>965248</v>
      </c>
      <c r="E260" s="5">
        <v>30000</v>
      </c>
      <c r="F260" s="6">
        <f>SUM(D260:E260)</f>
        <v>995248</v>
      </c>
      <c r="G260" s="5"/>
      <c r="H260" s="5"/>
      <c r="I260" s="6">
        <f>SUM(G260:H260)</f>
        <v>0</v>
      </c>
    </row>
    <row r="261" spans="1:9" ht="15">
      <c r="A261" s="15">
        <v>167</v>
      </c>
      <c r="B261" s="79">
        <v>2</v>
      </c>
      <c r="C261" s="96" t="s">
        <v>250</v>
      </c>
      <c r="D261" s="5">
        <v>945278</v>
      </c>
      <c r="E261" s="5">
        <v>5000</v>
      </c>
      <c r="F261" s="6">
        <f>SUM(D261:E261)</f>
        <v>950278</v>
      </c>
      <c r="G261" s="5"/>
      <c r="H261" s="5"/>
      <c r="I261" s="6">
        <f>SUM(G261:H261)</f>
        <v>0</v>
      </c>
    </row>
    <row r="262" spans="1:9" ht="15">
      <c r="A262" s="224" t="s">
        <v>42</v>
      </c>
      <c r="B262" s="225"/>
      <c r="C262" s="225"/>
      <c r="D262" s="7">
        <f>SUM(D260:D261)</f>
        <v>1910526</v>
      </c>
      <c r="E262" s="7">
        <f>SUM(E260:E261)</f>
        <v>35000</v>
      </c>
      <c r="F262" s="7">
        <f>SUM(D262:E262)</f>
        <v>1945526</v>
      </c>
      <c r="G262" s="7">
        <f>SUM(G260:G261)</f>
        <v>0</v>
      </c>
      <c r="H262" s="7">
        <f>SUM(H260:H261)</f>
        <v>0</v>
      </c>
      <c r="I262" s="7">
        <f>SUM(G262:H262)</f>
        <v>0</v>
      </c>
    </row>
    <row r="263" spans="1:9" ht="15">
      <c r="A263" s="224" t="s">
        <v>173</v>
      </c>
      <c r="B263" s="225"/>
      <c r="C263" s="225"/>
      <c r="D263" s="225"/>
      <c r="E263" s="225"/>
      <c r="F263" s="225"/>
      <c r="G263" s="225"/>
      <c r="H263" s="225"/>
      <c r="I263" s="226"/>
    </row>
    <row r="264" spans="1:9" ht="15">
      <c r="A264" s="15">
        <v>168</v>
      </c>
      <c r="B264" s="15">
        <v>1</v>
      </c>
      <c r="C264" s="26" t="s">
        <v>174</v>
      </c>
      <c r="D264" s="5"/>
      <c r="E264" s="27"/>
      <c r="F264" s="6">
        <f>SUM(D264:E264)</f>
        <v>0</v>
      </c>
      <c r="G264" s="5"/>
      <c r="H264" s="27"/>
      <c r="I264" s="6">
        <f>SUM(G264:H264)</f>
        <v>0</v>
      </c>
    </row>
    <row r="265" spans="1:9" ht="15">
      <c r="A265" s="15">
        <v>169</v>
      </c>
      <c r="B265" s="15">
        <v>2</v>
      </c>
      <c r="C265" s="28" t="s">
        <v>175</v>
      </c>
      <c r="D265" s="5"/>
      <c r="E265" s="27">
        <v>1500000</v>
      </c>
      <c r="F265" s="6">
        <f>D265+E265</f>
        <v>1500000</v>
      </c>
      <c r="G265" s="5">
        <v>500000</v>
      </c>
      <c r="H265" s="27">
        <v>1500000</v>
      </c>
      <c r="I265" s="6">
        <f>G265+H265</f>
        <v>2000000</v>
      </c>
    </row>
    <row r="266" spans="1:9" ht="15">
      <c r="A266" s="224" t="s">
        <v>42</v>
      </c>
      <c r="B266" s="225"/>
      <c r="C266" s="225"/>
      <c r="D266" s="7">
        <f>SUM(D264:D265)</f>
        <v>0</v>
      </c>
      <c r="E266" s="7">
        <f>SUM(E264:E265)</f>
        <v>1500000</v>
      </c>
      <c r="F266" s="7">
        <f>SUM(D266:E266)</f>
        <v>1500000</v>
      </c>
      <c r="G266" s="7">
        <f>SUM(G264:G265)</f>
        <v>500000</v>
      </c>
      <c r="H266" s="7">
        <f>SUM(H264:H265)</f>
        <v>1500000</v>
      </c>
      <c r="I266" s="7">
        <f>SUM(G266:H266)</f>
        <v>2000000</v>
      </c>
    </row>
    <row r="267" spans="1:9" ht="15">
      <c r="A267" s="224" t="s">
        <v>176</v>
      </c>
      <c r="B267" s="225"/>
      <c r="C267" s="225"/>
      <c r="D267" s="225"/>
      <c r="E267" s="225"/>
      <c r="F267" s="225"/>
      <c r="G267" s="225"/>
      <c r="H267" s="225"/>
      <c r="I267" s="226"/>
    </row>
    <row r="268" spans="1:9" ht="15">
      <c r="A268" s="15">
        <v>170</v>
      </c>
      <c r="B268" s="15">
        <v>1</v>
      </c>
      <c r="C268" s="17" t="s">
        <v>177</v>
      </c>
      <c r="D268" s="5"/>
      <c r="E268" s="5"/>
      <c r="F268" s="6">
        <f>SUM(D268:E268)</f>
        <v>0</v>
      </c>
      <c r="G268" s="5"/>
      <c r="H268" s="5"/>
      <c r="I268" s="6">
        <f>SUM(G268:H268)</f>
        <v>0</v>
      </c>
    </row>
    <row r="269" spans="1:9" ht="15">
      <c r="A269" s="15">
        <v>171</v>
      </c>
      <c r="B269" s="15">
        <v>2</v>
      </c>
      <c r="C269" s="17" t="s">
        <v>178</v>
      </c>
      <c r="D269" s="5"/>
      <c r="E269" s="5">
        <v>1000000</v>
      </c>
      <c r="F269" s="6">
        <f aca="true" t="shared" si="17" ref="F269:F280">SUM(D269:E269)</f>
        <v>1000000</v>
      </c>
      <c r="G269" s="5"/>
      <c r="H269" s="5"/>
      <c r="I269" s="6">
        <f aca="true" t="shared" si="18" ref="I269:I279">SUM(G269:H269)</f>
        <v>0</v>
      </c>
    </row>
    <row r="270" spans="1:9" ht="15">
      <c r="A270" s="15">
        <v>172</v>
      </c>
      <c r="B270" s="15">
        <v>3</v>
      </c>
      <c r="C270" s="29" t="s">
        <v>179</v>
      </c>
      <c r="D270" s="5">
        <v>2961148</v>
      </c>
      <c r="E270" s="5"/>
      <c r="F270" s="6">
        <f t="shared" si="17"/>
        <v>2961148</v>
      </c>
      <c r="G270" s="5"/>
      <c r="H270" s="5"/>
      <c r="I270" s="6">
        <f t="shared" si="18"/>
        <v>0</v>
      </c>
    </row>
    <row r="271" spans="1:9" ht="15">
      <c r="A271" s="15">
        <v>173</v>
      </c>
      <c r="B271" s="15">
        <v>4</v>
      </c>
      <c r="C271" s="29" t="s">
        <v>254</v>
      </c>
      <c r="D271" s="5"/>
      <c r="E271" s="5">
        <v>80000</v>
      </c>
      <c r="F271" s="6">
        <f t="shared" si="17"/>
        <v>80000</v>
      </c>
      <c r="G271" s="5"/>
      <c r="H271" s="5"/>
      <c r="I271" s="6">
        <f t="shared" si="18"/>
        <v>0</v>
      </c>
    </row>
    <row r="272" spans="1:9" ht="15">
      <c r="A272" s="15">
        <v>174</v>
      </c>
      <c r="B272" s="15">
        <v>5</v>
      </c>
      <c r="C272" s="26" t="s">
        <v>220</v>
      </c>
      <c r="D272" s="5">
        <v>50000</v>
      </c>
      <c r="E272" s="5"/>
      <c r="F272" s="6">
        <f t="shared" si="17"/>
        <v>50000</v>
      </c>
      <c r="G272" s="5">
        <f>125000+50000+400000</f>
        <v>575000</v>
      </c>
      <c r="H272" s="5">
        <v>400000</v>
      </c>
      <c r="I272" s="6">
        <f t="shared" si="18"/>
        <v>975000</v>
      </c>
    </row>
    <row r="273" spans="1:9" ht="15">
      <c r="A273" s="15">
        <v>175</v>
      </c>
      <c r="B273" s="15">
        <v>6</v>
      </c>
      <c r="C273" s="26" t="s">
        <v>221</v>
      </c>
      <c r="D273" s="5">
        <v>200000</v>
      </c>
      <c r="E273" s="5"/>
      <c r="F273" s="6">
        <f t="shared" si="17"/>
        <v>200000</v>
      </c>
      <c r="G273" s="5"/>
      <c r="H273" s="5">
        <v>50000</v>
      </c>
      <c r="I273" s="6">
        <f t="shared" si="18"/>
        <v>50000</v>
      </c>
    </row>
    <row r="274" spans="1:9" ht="15">
      <c r="A274" s="15">
        <v>176</v>
      </c>
      <c r="B274" s="15">
        <v>7</v>
      </c>
      <c r="C274" s="26" t="s">
        <v>222</v>
      </c>
      <c r="D274" s="5">
        <v>400000</v>
      </c>
      <c r="E274" s="5"/>
      <c r="F274" s="6">
        <f t="shared" si="17"/>
        <v>400000</v>
      </c>
      <c r="G274" s="5">
        <v>300000</v>
      </c>
      <c r="H274" s="5"/>
      <c r="I274" s="6">
        <f t="shared" si="18"/>
        <v>300000</v>
      </c>
    </row>
    <row r="275" spans="1:9" ht="15">
      <c r="A275" s="15">
        <v>177</v>
      </c>
      <c r="B275" s="15">
        <v>8</v>
      </c>
      <c r="C275" s="26" t="s">
        <v>223</v>
      </c>
      <c r="D275" s="5"/>
      <c r="E275" s="5"/>
      <c r="F275" s="6">
        <f t="shared" si="17"/>
        <v>0</v>
      </c>
      <c r="G275" s="5"/>
      <c r="H275" s="5"/>
      <c r="I275" s="6">
        <f t="shared" si="18"/>
        <v>0</v>
      </c>
    </row>
    <row r="276" spans="1:13" ht="15">
      <c r="A276" s="15">
        <v>178</v>
      </c>
      <c r="B276" s="15">
        <v>9</v>
      </c>
      <c r="C276" s="26" t="s">
        <v>256</v>
      </c>
      <c r="D276" s="5"/>
      <c r="E276" s="5"/>
      <c r="F276" s="6">
        <f t="shared" si="17"/>
        <v>0</v>
      </c>
      <c r="G276" s="5"/>
      <c r="H276" s="5"/>
      <c r="I276" s="6">
        <f t="shared" si="18"/>
        <v>0</v>
      </c>
      <c r="L276" s="83"/>
      <c r="M276" s="83"/>
    </row>
    <row r="277" spans="1:12" ht="15">
      <c r="A277" s="15">
        <v>179</v>
      </c>
      <c r="B277" s="15">
        <v>10</v>
      </c>
      <c r="C277" s="26" t="s">
        <v>224</v>
      </c>
      <c r="D277" s="5"/>
      <c r="E277" s="5"/>
      <c r="F277" s="6">
        <f t="shared" si="17"/>
        <v>0</v>
      </c>
      <c r="G277" s="5"/>
      <c r="H277" s="5"/>
      <c r="I277" s="6">
        <f t="shared" si="18"/>
        <v>0</v>
      </c>
      <c r="L277" s="16"/>
    </row>
    <row r="278" spans="1:13" ht="15">
      <c r="A278" s="15">
        <v>180</v>
      </c>
      <c r="B278" s="15">
        <v>11</v>
      </c>
      <c r="C278" s="28" t="s">
        <v>186</v>
      </c>
      <c r="D278" s="5"/>
      <c r="E278" s="5"/>
      <c r="F278" s="6">
        <f>SUM(D278:E278)</f>
        <v>0</v>
      </c>
      <c r="G278" s="5"/>
      <c r="H278" s="5"/>
      <c r="I278" s="6">
        <f>SUM(G278:H278)</f>
        <v>0</v>
      </c>
      <c r="L278" s="16"/>
      <c r="M278" s="16"/>
    </row>
    <row r="279" spans="1:13" ht="15">
      <c r="A279" s="15">
        <v>181</v>
      </c>
      <c r="B279" s="15">
        <v>12</v>
      </c>
      <c r="C279" s="26" t="s">
        <v>245</v>
      </c>
      <c r="D279" s="5">
        <v>240000</v>
      </c>
      <c r="E279" s="5"/>
      <c r="F279" s="6">
        <f t="shared" si="17"/>
        <v>240000</v>
      </c>
      <c r="G279" s="5"/>
      <c r="H279" s="5"/>
      <c r="I279" s="6">
        <f t="shared" si="18"/>
        <v>0</v>
      </c>
      <c r="L279" s="16"/>
      <c r="M279" s="16"/>
    </row>
    <row r="280" spans="1:9" ht="15">
      <c r="A280" s="15">
        <v>182</v>
      </c>
      <c r="B280" s="15">
        <v>13</v>
      </c>
      <c r="C280" s="30" t="s">
        <v>183</v>
      </c>
      <c r="D280" s="5"/>
      <c r="E280" s="5"/>
      <c r="F280" s="6">
        <f t="shared" si="17"/>
        <v>0</v>
      </c>
      <c r="G280" s="5"/>
      <c r="H280" s="5"/>
      <c r="I280" s="6">
        <f aca="true" t="shared" si="19" ref="I280:I291">SUM(G280:H280)</f>
        <v>0</v>
      </c>
    </row>
    <row r="281" spans="1:9" ht="15">
      <c r="A281" s="15">
        <v>183</v>
      </c>
      <c r="B281" s="15">
        <v>14</v>
      </c>
      <c r="C281" s="30" t="s">
        <v>185</v>
      </c>
      <c r="D281" s="5">
        <v>220000</v>
      </c>
      <c r="E281" s="5"/>
      <c r="F281" s="6">
        <f aca="true" t="shared" si="20" ref="F281:F291">SUM(D281:E281)</f>
        <v>220000</v>
      </c>
      <c r="G281" s="5">
        <v>220000</v>
      </c>
      <c r="H281" s="5"/>
      <c r="I281" s="6">
        <f t="shared" si="19"/>
        <v>220000</v>
      </c>
    </row>
    <row r="282" spans="1:14" ht="15">
      <c r="A282" s="15">
        <v>184</v>
      </c>
      <c r="B282" s="15">
        <v>15</v>
      </c>
      <c r="C282" s="32" t="s">
        <v>187</v>
      </c>
      <c r="D282" s="31">
        <v>50000</v>
      </c>
      <c r="E282" s="27"/>
      <c r="F282" s="6">
        <f t="shared" si="20"/>
        <v>50000</v>
      </c>
      <c r="G282" s="31"/>
      <c r="H282" s="27"/>
      <c r="I282" s="6">
        <f t="shared" si="19"/>
        <v>0</v>
      </c>
      <c r="K282" s="81"/>
      <c r="L282" s="82"/>
      <c r="M282" s="82"/>
      <c r="N282" s="16"/>
    </row>
    <row r="283" spans="1:9" ht="15">
      <c r="A283" s="15">
        <v>185</v>
      </c>
      <c r="B283" s="15">
        <v>16</v>
      </c>
      <c r="C283" s="32" t="s">
        <v>188</v>
      </c>
      <c r="D283" s="31">
        <v>170000</v>
      </c>
      <c r="E283" s="27"/>
      <c r="F283" s="6">
        <f t="shared" si="20"/>
        <v>170000</v>
      </c>
      <c r="G283" s="31"/>
      <c r="H283" s="27"/>
      <c r="I283" s="6">
        <f t="shared" si="19"/>
        <v>0</v>
      </c>
    </row>
    <row r="284" spans="1:9" ht="15">
      <c r="A284" s="15">
        <v>186</v>
      </c>
      <c r="B284" s="15">
        <v>17</v>
      </c>
      <c r="C284" s="32" t="s">
        <v>204</v>
      </c>
      <c r="D284" s="31"/>
      <c r="E284" s="27"/>
      <c r="F284" s="6">
        <f t="shared" si="20"/>
        <v>0</v>
      </c>
      <c r="G284" s="31"/>
      <c r="H284" s="27"/>
      <c r="I284" s="6">
        <f t="shared" si="19"/>
        <v>0</v>
      </c>
    </row>
    <row r="285" spans="1:9" ht="15">
      <c r="A285" s="15">
        <v>187</v>
      </c>
      <c r="B285" s="15">
        <v>18</v>
      </c>
      <c r="C285" s="32" t="s">
        <v>217</v>
      </c>
      <c r="D285" s="31"/>
      <c r="E285" s="27"/>
      <c r="F285" s="6">
        <f t="shared" si="20"/>
        <v>0</v>
      </c>
      <c r="G285" s="31"/>
      <c r="H285" s="27"/>
      <c r="I285" s="6">
        <f t="shared" si="19"/>
        <v>0</v>
      </c>
    </row>
    <row r="286" spans="1:9" ht="15">
      <c r="A286" s="15">
        <v>188</v>
      </c>
      <c r="B286" s="15">
        <v>19</v>
      </c>
      <c r="C286" s="32" t="s">
        <v>218</v>
      </c>
      <c r="D286" s="31"/>
      <c r="E286" s="27"/>
      <c r="F286" s="6">
        <f t="shared" si="20"/>
        <v>0</v>
      </c>
      <c r="G286" s="31"/>
      <c r="H286" s="27"/>
      <c r="I286" s="6">
        <f t="shared" si="19"/>
        <v>0</v>
      </c>
    </row>
    <row r="287" spans="1:9" ht="15">
      <c r="A287" s="15">
        <v>189</v>
      </c>
      <c r="B287" s="15">
        <v>20</v>
      </c>
      <c r="C287" s="32" t="s">
        <v>219</v>
      </c>
      <c r="D287" s="31"/>
      <c r="E287" s="27"/>
      <c r="F287" s="6">
        <f t="shared" si="20"/>
        <v>0</v>
      </c>
      <c r="G287" s="31"/>
      <c r="H287" s="27"/>
      <c r="I287" s="6">
        <f t="shared" si="19"/>
        <v>0</v>
      </c>
    </row>
    <row r="288" spans="1:9" ht="15">
      <c r="A288" s="15">
        <v>190</v>
      </c>
      <c r="B288" s="15">
        <v>21</v>
      </c>
      <c r="C288" s="32" t="s">
        <v>225</v>
      </c>
      <c r="D288" s="31">
        <v>300000</v>
      </c>
      <c r="E288" s="27"/>
      <c r="F288" s="6">
        <f t="shared" si="20"/>
        <v>300000</v>
      </c>
      <c r="G288" s="31"/>
      <c r="H288" s="27"/>
      <c r="I288" s="6">
        <f t="shared" si="19"/>
        <v>0</v>
      </c>
    </row>
    <row r="289" spans="1:9" ht="15">
      <c r="A289" s="15">
        <v>191</v>
      </c>
      <c r="B289" s="15">
        <v>22</v>
      </c>
      <c r="C289" s="32" t="s">
        <v>308</v>
      </c>
      <c r="D289" s="31"/>
      <c r="E289" s="27"/>
      <c r="F289" s="6">
        <f t="shared" si="20"/>
        <v>0</v>
      </c>
      <c r="G289" s="31">
        <v>400000</v>
      </c>
      <c r="H289" s="27"/>
      <c r="I289" s="6">
        <f t="shared" si="19"/>
        <v>400000</v>
      </c>
    </row>
    <row r="290" spans="1:9" ht="15">
      <c r="A290" s="15">
        <v>192</v>
      </c>
      <c r="B290" s="15">
        <v>23</v>
      </c>
      <c r="C290" s="32" t="s">
        <v>309</v>
      </c>
      <c r="D290" s="31"/>
      <c r="E290" s="27"/>
      <c r="F290" s="6">
        <f t="shared" si="20"/>
        <v>0</v>
      </c>
      <c r="G290" s="31">
        <v>60000</v>
      </c>
      <c r="H290" s="27"/>
      <c r="I290" s="6">
        <f t="shared" si="19"/>
        <v>60000</v>
      </c>
    </row>
    <row r="291" spans="1:9" ht="15">
      <c r="A291" s="15">
        <v>193</v>
      </c>
      <c r="B291" s="15">
        <v>24</v>
      </c>
      <c r="C291" s="32" t="s">
        <v>310</v>
      </c>
      <c r="D291" s="31"/>
      <c r="E291" s="27"/>
      <c r="F291" s="6">
        <f t="shared" si="20"/>
        <v>0</v>
      </c>
      <c r="G291" s="31">
        <v>1000000</v>
      </c>
      <c r="H291" s="27"/>
      <c r="I291" s="6">
        <f t="shared" si="19"/>
        <v>1000000</v>
      </c>
    </row>
    <row r="292" spans="1:9" ht="15.75" thickBot="1">
      <c r="A292" s="253" t="s">
        <v>42</v>
      </c>
      <c r="B292" s="254"/>
      <c r="C292" s="255"/>
      <c r="D292" s="33">
        <f>SUM(D268:D291)</f>
        <v>4591148</v>
      </c>
      <c r="E292" s="33">
        <f>SUM(E268:E291)</f>
        <v>1080000</v>
      </c>
      <c r="F292" s="33">
        <f>SUM(D292:E292)</f>
        <v>5671148</v>
      </c>
      <c r="G292" s="33">
        <f>SUM(G268:G291)</f>
        <v>2555000</v>
      </c>
      <c r="H292" s="33">
        <f>SUM(H269:H288)</f>
        <v>450000</v>
      </c>
      <c r="I292" s="33">
        <f>SUM(G292:H292)</f>
        <v>3005000</v>
      </c>
    </row>
    <row r="293" spans="1:9" ht="16.5" thickBot="1" thickTop="1">
      <c r="A293" s="237" t="s">
        <v>190</v>
      </c>
      <c r="B293" s="238"/>
      <c r="C293" s="238"/>
      <c r="D293" s="34">
        <f>D292+D266+D262+D258+D201+D176+D154+D132+D129+D126+D121+D108+D86+D76+D73</f>
        <v>97625271</v>
      </c>
      <c r="E293" s="34">
        <f>E292+E266+E262+E258+E201+E176+E154+E132+E129+E126+E121+E108+E86+E76+E73</f>
        <v>42836569</v>
      </c>
      <c r="F293" s="34">
        <f>SUM(D293:E293)</f>
        <v>140461840</v>
      </c>
      <c r="G293" s="34">
        <f>G292+G266+G262+G258+G201+G176+G154+G132+G129+G126+G121+G108+G86+G76+G73</f>
        <v>133152657</v>
      </c>
      <c r="H293" s="34">
        <f>H292+H266+H262+H258+H201+H176+H154+H132+H129+H126+H121+H108+H86+H76+H73</f>
        <v>44942183</v>
      </c>
      <c r="I293" s="34">
        <f>SUM(G293:H293)</f>
        <v>178094840</v>
      </c>
    </row>
    <row r="294" spans="1:10" ht="15.75" thickTop="1">
      <c r="A294" s="35"/>
      <c r="B294" s="35"/>
      <c r="C294" s="35"/>
      <c r="D294" s="36"/>
      <c r="E294" s="36"/>
      <c r="F294" s="36"/>
      <c r="G294" s="36"/>
      <c r="H294" s="36"/>
      <c r="I294" s="36"/>
      <c r="J294" s="37"/>
    </row>
    <row r="295" spans="1:8" ht="15">
      <c r="A295" s="39"/>
      <c r="B295" s="39"/>
      <c r="C295" s="39"/>
      <c r="D295" s="38"/>
      <c r="E295" s="38"/>
      <c r="G295" s="38" t="s">
        <v>306</v>
      </c>
      <c r="H295" s="38"/>
    </row>
    <row r="296" spans="1:8" ht="15">
      <c r="A296" s="39"/>
      <c r="B296" s="39"/>
      <c r="C296" s="38" t="s">
        <v>199</v>
      </c>
      <c r="D296" s="38"/>
      <c r="E296" s="38"/>
      <c r="G296" s="240" t="s">
        <v>349</v>
      </c>
      <c r="H296" s="240"/>
    </row>
    <row r="297" spans="1:8" ht="15">
      <c r="A297" s="39"/>
      <c r="B297" s="39"/>
      <c r="C297" s="39"/>
      <c r="D297" s="39"/>
      <c r="E297" s="39"/>
      <c r="G297" s="39"/>
      <c r="H297" s="39"/>
    </row>
    <row r="298" spans="1:8" ht="15">
      <c r="A298" s="39"/>
      <c r="B298" s="61"/>
      <c r="C298" s="272" t="s">
        <v>866</v>
      </c>
      <c r="D298" s="39"/>
      <c r="E298" s="39"/>
      <c r="G298" s="270" t="s">
        <v>866</v>
      </c>
      <c r="H298" s="39"/>
    </row>
    <row r="299" spans="1:9" ht="15">
      <c r="A299" s="39"/>
      <c r="B299" s="61"/>
      <c r="C299" s="38" t="s">
        <v>269</v>
      </c>
      <c r="D299" s="62"/>
      <c r="E299" s="62"/>
      <c r="F299" s="240" t="s">
        <v>350</v>
      </c>
      <c r="G299" s="240"/>
      <c r="H299" s="240"/>
      <c r="I299" s="240"/>
    </row>
    <row r="300" spans="1:12" ht="15">
      <c r="A300" s="35"/>
      <c r="B300" s="35"/>
      <c r="C300" s="35"/>
      <c r="D300" s="36"/>
      <c r="E300" s="36"/>
      <c r="F300" s="36"/>
      <c r="G300" s="36"/>
      <c r="H300" s="36"/>
      <c r="I300" s="36"/>
      <c r="J300" s="37"/>
      <c r="L300" s="16"/>
    </row>
    <row r="301" spans="1:9" ht="15">
      <c r="A301" s="240" t="s">
        <v>191</v>
      </c>
      <c r="B301" s="240"/>
      <c r="C301" s="240"/>
      <c r="D301" s="240"/>
      <c r="E301" s="240"/>
      <c r="F301" s="240"/>
      <c r="G301" s="240"/>
      <c r="H301" s="240"/>
      <c r="I301" s="240"/>
    </row>
    <row r="302" spans="1:9" ht="15">
      <c r="A302" s="240" t="s">
        <v>305</v>
      </c>
      <c r="B302" s="240"/>
      <c r="C302" s="240"/>
      <c r="D302" s="240"/>
      <c r="E302" s="240"/>
      <c r="F302" s="240"/>
      <c r="G302" s="240"/>
      <c r="H302" s="240"/>
      <c r="I302" s="240"/>
    </row>
    <row r="303" spans="1:9" ht="15">
      <c r="A303" s="38" t="s">
        <v>192</v>
      </c>
      <c r="B303" s="72" t="s">
        <v>195</v>
      </c>
      <c r="C303" s="38"/>
      <c r="D303" s="38"/>
      <c r="E303" s="38"/>
      <c r="F303" s="38"/>
      <c r="G303" s="38"/>
      <c r="H303" s="38"/>
      <c r="I303" s="38"/>
    </row>
    <row r="304" spans="1:9" ht="15">
      <c r="A304" s="40"/>
      <c r="B304" s="243" t="s">
        <v>2</v>
      </c>
      <c r="C304" s="247" t="s">
        <v>193</v>
      </c>
      <c r="D304" s="248"/>
      <c r="E304" s="248"/>
      <c r="F304" s="248"/>
      <c r="G304" s="248"/>
      <c r="H304" s="249"/>
      <c r="I304" s="85" t="s">
        <v>42</v>
      </c>
    </row>
    <row r="305" spans="1:9" ht="15">
      <c r="A305" s="39"/>
      <c r="B305" s="244"/>
      <c r="C305" s="250"/>
      <c r="D305" s="251"/>
      <c r="E305" s="251"/>
      <c r="F305" s="251"/>
      <c r="G305" s="251"/>
      <c r="H305" s="252"/>
      <c r="I305" s="84" t="s">
        <v>194</v>
      </c>
    </row>
    <row r="306" spans="1:9" ht="15">
      <c r="A306" s="39"/>
      <c r="B306" s="70">
        <v>1</v>
      </c>
      <c r="C306" s="45" t="s">
        <v>339</v>
      </c>
      <c r="D306" s="60"/>
      <c r="E306" s="60"/>
      <c r="F306" s="69"/>
      <c r="G306" s="60"/>
      <c r="H306" s="60"/>
      <c r="I306" s="59"/>
    </row>
    <row r="307" spans="1:9" ht="15">
      <c r="A307" s="39"/>
      <c r="B307" s="70"/>
      <c r="C307" s="45" t="s">
        <v>340</v>
      </c>
      <c r="D307" s="60"/>
      <c r="E307" s="60"/>
      <c r="F307" s="69"/>
      <c r="G307" s="60"/>
      <c r="H307" s="60"/>
      <c r="I307" s="59">
        <v>6565900</v>
      </c>
    </row>
    <row r="308" spans="1:9" ht="15">
      <c r="A308" s="39"/>
      <c r="B308" s="70">
        <v>2</v>
      </c>
      <c r="C308" s="45" t="s">
        <v>316</v>
      </c>
      <c r="D308" s="60"/>
      <c r="E308" s="60"/>
      <c r="F308" s="69"/>
      <c r="G308" s="60"/>
      <c r="H308" s="60"/>
      <c r="I308" s="59"/>
    </row>
    <row r="309" spans="1:9" ht="15">
      <c r="A309" s="39"/>
      <c r="B309" s="70"/>
      <c r="C309" s="45" t="s">
        <v>317</v>
      </c>
      <c r="D309" s="60"/>
      <c r="E309" s="60"/>
      <c r="F309" s="69"/>
      <c r="G309" s="60"/>
      <c r="H309" s="60"/>
      <c r="I309" s="59">
        <v>1500000</v>
      </c>
    </row>
    <row r="310" spans="1:10" ht="15">
      <c r="A310" s="39"/>
      <c r="B310" s="70"/>
      <c r="C310" s="45" t="s">
        <v>334</v>
      </c>
      <c r="D310" s="60"/>
      <c r="E310" s="60"/>
      <c r="F310" s="69"/>
      <c r="G310" s="60"/>
      <c r="H310" s="60"/>
      <c r="I310" s="59">
        <v>2000000</v>
      </c>
      <c r="J310" s="88"/>
    </row>
    <row r="311" spans="1:9" ht="15">
      <c r="A311" s="39"/>
      <c r="B311" s="70"/>
      <c r="C311" s="45" t="s">
        <v>335</v>
      </c>
      <c r="D311" s="60"/>
      <c r="E311" s="60"/>
      <c r="F311" s="69"/>
      <c r="G311" s="60"/>
      <c r="H311" s="60"/>
      <c r="I311" s="59">
        <v>500000</v>
      </c>
    </row>
    <row r="312" spans="1:9" ht="15">
      <c r="A312" s="39"/>
      <c r="B312" s="70">
        <v>3</v>
      </c>
      <c r="C312" s="45" t="s">
        <v>378</v>
      </c>
      <c r="D312" s="60"/>
      <c r="E312" s="60"/>
      <c r="F312" s="69"/>
      <c r="G312" s="60"/>
      <c r="H312" s="60"/>
      <c r="I312" s="59"/>
    </row>
    <row r="313" spans="1:9" ht="15">
      <c r="A313" s="39"/>
      <c r="B313" s="41"/>
      <c r="C313" s="45" t="s">
        <v>414</v>
      </c>
      <c r="D313" s="42"/>
      <c r="E313" s="42"/>
      <c r="F313" s="63"/>
      <c r="G313" s="42"/>
      <c r="H313" s="42"/>
      <c r="I313" s="54">
        <v>1500000</v>
      </c>
    </row>
    <row r="314" spans="1:9" ht="15">
      <c r="A314" s="39"/>
      <c r="B314" s="41"/>
      <c r="C314" s="45" t="s">
        <v>415</v>
      </c>
      <c r="D314" s="42"/>
      <c r="E314" s="42"/>
      <c r="F314" s="63"/>
      <c r="G314" s="42"/>
      <c r="H314" s="43"/>
      <c r="I314" s="44">
        <v>300000</v>
      </c>
    </row>
    <row r="315" spans="1:10" ht="15">
      <c r="A315" s="39"/>
      <c r="B315" s="41"/>
      <c r="C315" s="45" t="s">
        <v>416</v>
      </c>
      <c r="D315" s="42"/>
      <c r="E315" s="42"/>
      <c r="F315" s="63"/>
      <c r="G315" s="42"/>
      <c r="H315" s="43"/>
      <c r="I315" s="44">
        <v>500000</v>
      </c>
      <c r="J315" s="88"/>
    </row>
    <row r="316" spans="1:9" ht="15">
      <c r="A316" s="39"/>
      <c r="B316" s="41">
        <v>4</v>
      </c>
      <c r="C316" s="45" t="s">
        <v>873</v>
      </c>
      <c r="D316" s="42"/>
      <c r="E316" s="42"/>
      <c r="F316" s="63"/>
      <c r="G316" s="42"/>
      <c r="H316" s="43"/>
      <c r="I316" s="98">
        <v>9375000</v>
      </c>
    </row>
    <row r="317" spans="1:9" ht="15">
      <c r="A317" s="39"/>
      <c r="B317" s="41">
        <v>5</v>
      </c>
      <c r="C317" s="45" t="s">
        <v>418</v>
      </c>
      <c r="D317" s="42"/>
      <c r="E317" s="42"/>
      <c r="F317" s="63"/>
      <c r="G317" s="42"/>
      <c r="H317" s="43"/>
      <c r="I317" s="98"/>
    </row>
    <row r="318" spans="1:9" ht="15">
      <c r="A318" s="39"/>
      <c r="B318" s="41"/>
      <c r="C318" s="45" t="s">
        <v>417</v>
      </c>
      <c r="D318" s="42"/>
      <c r="E318" s="42"/>
      <c r="F318" s="63"/>
      <c r="G318" s="42"/>
      <c r="H318" s="43"/>
      <c r="I318" s="98">
        <v>6000000</v>
      </c>
    </row>
    <row r="319" spans="1:10" ht="15">
      <c r="A319" s="39"/>
      <c r="B319" s="41"/>
      <c r="C319" s="45" t="s">
        <v>419</v>
      </c>
      <c r="D319" s="52"/>
      <c r="E319" s="52"/>
      <c r="F319" s="63"/>
      <c r="G319" s="52"/>
      <c r="H319" s="53"/>
      <c r="I319" s="54">
        <v>6000000</v>
      </c>
      <c r="J319" s="88"/>
    </row>
    <row r="320" spans="1:11" ht="15">
      <c r="A320" s="39"/>
      <c r="B320" s="41">
        <v>7</v>
      </c>
      <c r="C320" s="55" t="s">
        <v>226</v>
      </c>
      <c r="D320" s="52"/>
      <c r="E320" s="52"/>
      <c r="F320" s="63"/>
      <c r="G320" s="52"/>
      <c r="H320" s="53"/>
      <c r="I320" s="92">
        <v>70000</v>
      </c>
      <c r="K320" t="s">
        <v>198</v>
      </c>
    </row>
    <row r="321" spans="1:9" ht="15">
      <c r="A321" s="56"/>
      <c r="B321" s="241" t="s">
        <v>5</v>
      </c>
      <c r="C321" s="245"/>
      <c r="D321" s="245"/>
      <c r="E321" s="245"/>
      <c r="F321" s="66"/>
      <c r="G321" s="66"/>
      <c r="H321" s="67"/>
      <c r="I321" s="57">
        <f>SUM(I306:I320)</f>
        <v>34310900</v>
      </c>
    </row>
    <row r="322" spans="1:9" ht="15">
      <c r="A322" s="58"/>
      <c r="B322" s="58"/>
      <c r="C322" s="58"/>
      <c r="D322" s="58"/>
      <c r="E322" s="58"/>
      <c r="F322" s="58"/>
      <c r="G322" s="73"/>
      <c r="H322" s="73"/>
      <c r="I322" s="58"/>
    </row>
    <row r="323" spans="1:9" ht="15">
      <c r="A323" s="74" t="s">
        <v>196</v>
      </c>
      <c r="B323" s="75" t="s">
        <v>197</v>
      </c>
      <c r="C323" s="75"/>
      <c r="D323" s="58"/>
      <c r="E323" s="58"/>
      <c r="F323" s="58"/>
      <c r="G323" s="58"/>
      <c r="H323" s="58"/>
      <c r="I323" s="58"/>
    </row>
    <row r="324" spans="1:9" ht="15">
      <c r="A324" s="40"/>
      <c r="B324" s="243" t="s">
        <v>2</v>
      </c>
      <c r="C324" s="248" t="s">
        <v>193</v>
      </c>
      <c r="D324" s="248"/>
      <c r="E324" s="248"/>
      <c r="F324" s="248"/>
      <c r="G324" s="248"/>
      <c r="H324" s="249"/>
      <c r="I324" s="85" t="s">
        <v>42</v>
      </c>
    </row>
    <row r="325" spans="1:9" ht="15">
      <c r="A325" s="58"/>
      <c r="B325" s="244"/>
      <c r="C325" s="251"/>
      <c r="D325" s="251"/>
      <c r="E325" s="251"/>
      <c r="F325" s="251"/>
      <c r="G325" s="251"/>
      <c r="H325" s="252"/>
      <c r="I325" s="84" t="s">
        <v>194</v>
      </c>
    </row>
    <row r="326" spans="1:9" ht="15">
      <c r="A326" s="58"/>
      <c r="B326" s="70">
        <v>1</v>
      </c>
      <c r="C326" s="45" t="s">
        <v>339</v>
      </c>
      <c r="D326" s="42"/>
      <c r="E326" s="42"/>
      <c r="F326" s="69"/>
      <c r="G326" s="42"/>
      <c r="H326" s="42"/>
      <c r="I326" s="59"/>
    </row>
    <row r="327" spans="1:9" ht="15">
      <c r="A327" s="58"/>
      <c r="B327" s="70"/>
      <c r="C327" s="45" t="s">
        <v>342</v>
      </c>
      <c r="D327" s="42"/>
      <c r="E327" s="42"/>
      <c r="F327" s="69"/>
      <c r="G327" s="42"/>
      <c r="H327" s="42"/>
      <c r="I327" s="101">
        <f>2103324</f>
        <v>2103324</v>
      </c>
    </row>
    <row r="328" spans="1:10" ht="15">
      <c r="A328" s="58"/>
      <c r="B328" s="70"/>
      <c r="C328" s="45" t="s">
        <v>343</v>
      </c>
      <c r="D328" s="42"/>
      <c r="E328" s="42"/>
      <c r="F328" s="69"/>
      <c r="G328" s="42"/>
      <c r="H328" s="42"/>
      <c r="I328" s="99">
        <v>406800</v>
      </c>
      <c r="J328" s="88"/>
    </row>
    <row r="329" spans="1:9" ht="15">
      <c r="A329" s="58"/>
      <c r="B329" s="70">
        <v>2</v>
      </c>
      <c r="C329" s="45" t="s">
        <v>331</v>
      </c>
      <c r="D329" s="60"/>
      <c r="E329" s="60"/>
      <c r="F329" s="69"/>
      <c r="G329" s="60"/>
      <c r="H329" s="60"/>
      <c r="I329" s="99"/>
    </row>
    <row r="330" spans="1:9" ht="15">
      <c r="A330" s="58"/>
      <c r="B330" s="70"/>
      <c r="C330" s="45" t="s">
        <v>318</v>
      </c>
      <c r="D330" s="60"/>
      <c r="E330" s="60"/>
      <c r="F330" s="69"/>
      <c r="G330" s="60"/>
      <c r="H330" s="60"/>
      <c r="I330" s="99">
        <v>1000000</v>
      </c>
    </row>
    <row r="331" spans="1:9" ht="15">
      <c r="A331" s="58"/>
      <c r="B331" s="70"/>
      <c r="C331" s="45" t="s">
        <v>332</v>
      </c>
      <c r="D331" s="60"/>
      <c r="E331" s="60"/>
      <c r="F331" s="69"/>
      <c r="G331" s="60"/>
      <c r="H331" s="60"/>
      <c r="I331" s="99">
        <v>500000</v>
      </c>
    </row>
    <row r="332" spans="1:9" ht="15">
      <c r="A332" s="58"/>
      <c r="B332" s="70"/>
      <c r="C332" s="45" t="s">
        <v>333</v>
      </c>
      <c r="D332" s="60"/>
      <c r="E332" s="60"/>
      <c r="F332" s="69"/>
      <c r="G332" s="60"/>
      <c r="H332" s="60"/>
      <c r="I332" s="99">
        <v>500000</v>
      </c>
    </row>
    <row r="333" spans="1:9" ht="15">
      <c r="A333" s="58"/>
      <c r="B333" s="70"/>
      <c r="C333" s="45" t="s">
        <v>337</v>
      </c>
      <c r="D333" s="60"/>
      <c r="E333" s="60"/>
      <c r="F333" s="69"/>
      <c r="G333" s="60"/>
      <c r="H333" s="60"/>
      <c r="I333" s="99">
        <v>500000</v>
      </c>
    </row>
    <row r="334" spans="1:10" ht="15">
      <c r="A334" s="58"/>
      <c r="B334" s="70"/>
      <c r="C334" s="45" t="s">
        <v>338</v>
      </c>
      <c r="D334" s="60"/>
      <c r="E334" s="60"/>
      <c r="F334" s="69"/>
      <c r="G334" s="60"/>
      <c r="H334" s="60"/>
      <c r="I334" s="99">
        <v>500000</v>
      </c>
      <c r="J334" s="88"/>
    </row>
    <row r="335" spans="1:10" ht="15">
      <c r="A335" s="58"/>
      <c r="B335" s="70"/>
      <c r="C335" s="45" t="s">
        <v>352</v>
      </c>
      <c r="D335" s="42"/>
      <c r="E335" s="42"/>
      <c r="F335" s="69"/>
      <c r="G335" s="42"/>
      <c r="H335" s="42"/>
      <c r="I335" s="99">
        <v>700000</v>
      </c>
      <c r="J335" s="88"/>
    </row>
    <row r="336" spans="1:9" ht="15">
      <c r="A336" s="58"/>
      <c r="B336" s="70">
        <v>3</v>
      </c>
      <c r="C336" s="87" t="s">
        <v>319</v>
      </c>
      <c r="D336" s="60"/>
      <c r="E336" s="60"/>
      <c r="F336" s="69"/>
      <c r="G336" s="60"/>
      <c r="H336" s="60"/>
      <c r="I336" s="99"/>
    </row>
    <row r="337" spans="1:9" ht="15">
      <c r="A337" s="58"/>
      <c r="B337" s="70"/>
      <c r="C337" s="45" t="s">
        <v>320</v>
      </c>
      <c r="D337" s="60"/>
      <c r="E337" s="60"/>
      <c r="F337" s="69"/>
      <c r="G337" s="60"/>
      <c r="H337" s="60"/>
      <c r="I337" s="99">
        <v>1000000</v>
      </c>
    </row>
    <row r="338" spans="1:9" ht="15">
      <c r="A338" s="58"/>
      <c r="B338" s="70">
        <v>4</v>
      </c>
      <c r="C338" s="45" t="s">
        <v>321</v>
      </c>
      <c r="D338" s="60"/>
      <c r="E338" s="60"/>
      <c r="F338" s="69"/>
      <c r="G338" s="60"/>
      <c r="H338" s="60"/>
      <c r="I338" s="99"/>
    </row>
    <row r="339" spans="1:9" ht="15">
      <c r="A339" s="58"/>
      <c r="B339" s="70"/>
      <c r="C339" s="45" t="s">
        <v>322</v>
      </c>
      <c r="D339" s="60"/>
      <c r="E339" s="60"/>
      <c r="F339" s="69"/>
      <c r="G339" s="60"/>
      <c r="H339" s="60"/>
      <c r="I339" s="99">
        <v>2000000</v>
      </c>
    </row>
    <row r="340" spans="1:9" ht="15">
      <c r="A340" s="58"/>
      <c r="B340" s="70"/>
      <c r="C340" s="45" t="s">
        <v>323</v>
      </c>
      <c r="D340" s="60"/>
      <c r="E340" s="60"/>
      <c r="F340" s="69"/>
      <c r="G340" s="60"/>
      <c r="H340" s="60"/>
      <c r="I340" s="99">
        <v>1246000</v>
      </c>
    </row>
    <row r="341" spans="1:9" ht="15">
      <c r="A341" s="58"/>
      <c r="B341" s="70"/>
      <c r="C341" s="45" t="s">
        <v>330</v>
      </c>
      <c r="D341" s="60"/>
      <c r="E341" s="60"/>
      <c r="F341" s="69"/>
      <c r="G341" s="60"/>
      <c r="H341" s="60"/>
      <c r="I341" s="99">
        <v>500000</v>
      </c>
    </row>
    <row r="342" spans="1:10" ht="15">
      <c r="A342" s="58"/>
      <c r="B342" s="70"/>
      <c r="C342" s="45" t="s">
        <v>336</v>
      </c>
      <c r="D342" s="60"/>
      <c r="E342" s="60"/>
      <c r="F342" s="69"/>
      <c r="G342" s="60"/>
      <c r="H342" s="60"/>
      <c r="I342" s="99">
        <v>700000</v>
      </c>
      <c r="J342" s="88"/>
    </row>
    <row r="343" spans="1:9" ht="15">
      <c r="A343" s="58"/>
      <c r="B343" s="70">
        <v>5</v>
      </c>
      <c r="C343" s="89" t="s">
        <v>324</v>
      </c>
      <c r="D343" s="60"/>
      <c r="E343" s="60"/>
      <c r="F343" s="69"/>
      <c r="G343" s="60"/>
      <c r="H343" s="60"/>
      <c r="I343" s="99">
        <v>3850000</v>
      </c>
    </row>
    <row r="344" spans="1:9" ht="15">
      <c r="A344" s="58"/>
      <c r="B344" s="70">
        <v>6</v>
      </c>
      <c r="C344" s="45" t="s">
        <v>325</v>
      </c>
      <c r="D344" s="60"/>
      <c r="E344" s="60"/>
      <c r="F344" s="69"/>
      <c r="G344" s="60"/>
      <c r="H344" s="60"/>
      <c r="I344" s="59"/>
    </row>
    <row r="345" spans="1:9" ht="15">
      <c r="A345" s="58"/>
      <c r="B345" s="70"/>
      <c r="C345" s="45" t="s">
        <v>326</v>
      </c>
      <c r="D345" s="60"/>
      <c r="E345" s="60"/>
      <c r="F345" s="69"/>
      <c r="G345" s="60"/>
      <c r="H345" s="60"/>
      <c r="I345" s="59">
        <v>150000</v>
      </c>
    </row>
    <row r="346" spans="1:9" ht="15">
      <c r="A346" s="58"/>
      <c r="B346" s="70"/>
      <c r="C346" s="45" t="s">
        <v>327</v>
      </c>
      <c r="D346" s="60"/>
      <c r="E346" s="60"/>
      <c r="F346" s="69"/>
      <c r="G346" s="60"/>
      <c r="H346" s="60"/>
      <c r="I346" s="59">
        <v>3475000</v>
      </c>
    </row>
    <row r="347" spans="1:10" ht="15">
      <c r="A347" s="58"/>
      <c r="B347" s="70"/>
      <c r="C347" s="45" t="s">
        <v>328</v>
      </c>
      <c r="D347" s="60"/>
      <c r="E347" s="60"/>
      <c r="F347" s="69"/>
      <c r="G347" s="60"/>
      <c r="H347" s="60"/>
      <c r="I347" s="59">
        <v>3261500</v>
      </c>
      <c r="J347" s="88"/>
    </row>
    <row r="348" spans="1:10" ht="15">
      <c r="A348" s="58"/>
      <c r="B348" s="70"/>
      <c r="C348" s="45" t="s">
        <v>353</v>
      </c>
      <c r="D348" s="60"/>
      <c r="E348" s="60"/>
      <c r="F348" s="69"/>
      <c r="G348" s="60"/>
      <c r="H348" s="60"/>
      <c r="I348" s="99">
        <v>6270000</v>
      </c>
      <c r="J348" s="88"/>
    </row>
    <row r="349" spans="1:9" ht="15">
      <c r="A349" s="58"/>
      <c r="B349" s="70">
        <v>7</v>
      </c>
      <c r="C349" s="45" t="s">
        <v>329</v>
      </c>
      <c r="D349" s="60"/>
      <c r="E349" s="60"/>
      <c r="F349" s="69"/>
      <c r="G349" s="60"/>
      <c r="H349" s="60"/>
      <c r="I349" s="59">
        <f>495000</f>
        <v>495000</v>
      </c>
    </row>
    <row r="350" spans="1:9" ht="15">
      <c r="A350" s="56"/>
      <c r="B350" s="241" t="s">
        <v>5</v>
      </c>
      <c r="C350" s="242"/>
      <c r="D350" s="242"/>
      <c r="E350" s="242"/>
      <c r="F350" s="65"/>
      <c r="G350" s="65"/>
      <c r="H350" s="71"/>
      <c r="I350" s="57">
        <f>SUM(I326:I349)</f>
        <v>29157624</v>
      </c>
    </row>
    <row r="351" spans="1:9" ht="15">
      <c r="A351" s="39"/>
      <c r="B351" s="39"/>
      <c r="C351" s="39"/>
      <c r="D351" s="39"/>
      <c r="E351" s="39"/>
      <c r="F351" s="39" t="s">
        <v>198</v>
      </c>
      <c r="G351" s="39"/>
      <c r="H351" s="39"/>
      <c r="I351" s="39" t="s">
        <v>198</v>
      </c>
    </row>
    <row r="352" spans="1:8" ht="15">
      <c r="A352" s="39"/>
      <c r="B352" s="39"/>
      <c r="C352" s="39"/>
      <c r="D352" s="38"/>
      <c r="E352" s="38"/>
      <c r="G352" s="38" t="s">
        <v>306</v>
      </c>
      <c r="H352" s="38"/>
    </row>
    <row r="353" spans="1:8" ht="15">
      <c r="A353" s="39"/>
      <c r="B353" s="39"/>
      <c r="C353" s="38" t="s">
        <v>199</v>
      </c>
      <c r="D353" s="38"/>
      <c r="E353" s="38"/>
      <c r="G353" s="240" t="s">
        <v>268</v>
      </c>
      <c r="H353" s="240"/>
    </row>
    <row r="354" spans="1:8" ht="15">
      <c r="A354" s="39"/>
      <c r="B354" s="39"/>
      <c r="C354" s="39"/>
      <c r="D354" s="39"/>
      <c r="E354" s="39"/>
      <c r="G354" s="39"/>
      <c r="H354" s="39"/>
    </row>
    <row r="355" spans="1:8" ht="15">
      <c r="A355" s="39"/>
      <c r="B355" s="61"/>
      <c r="C355" s="272" t="s">
        <v>866</v>
      </c>
      <c r="D355" s="39"/>
      <c r="E355" s="39"/>
      <c r="G355" s="270" t="s">
        <v>866</v>
      </c>
      <c r="H355" s="39"/>
    </row>
    <row r="356" spans="1:9" ht="15">
      <c r="A356" s="39"/>
      <c r="B356" s="61"/>
      <c r="C356" s="38" t="s">
        <v>269</v>
      </c>
      <c r="D356" s="62"/>
      <c r="E356" s="62"/>
      <c r="F356" s="240" t="s">
        <v>351</v>
      </c>
      <c r="G356" s="240"/>
      <c r="H356" s="240"/>
      <c r="I356" s="240"/>
    </row>
    <row r="357" spans="6:9" ht="15">
      <c r="F357" s="240"/>
      <c r="G357" s="240"/>
      <c r="H357" s="240"/>
      <c r="I357" s="240"/>
    </row>
  </sheetData>
  <sheetProtection/>
  <mergeCells count="73">
    <mergeCell ref="A8:B8"/>
    <mergeCell ref="A9:B9"/>
    <mergeCell ref="A10:B10"/>
    <mergeCell ref="E24:F24"/>
    <mergeCell ref="B25:B26"/>
    <mergeCell ref="C25:C26"/>
    <mergeCell ref="D25:D26"/>
    <mergeCell ref="E25:E26"/>
    <mergeCell ref="A70:I70"/>
    <mergeCell ref="A73:C73"/>
    <mergeCell ref="A74:I74"/>
    <mergeCell ref="A76:C76"/>
    <mergeCell ref="A1:F1"/>
    <mergeCell ref="A2:F2"/>
    <mergeCell ref="A3:F3"/>
    <mergeCell ref="A4:F4"/>
    <mergeCell ref="A5:F5"/>
    <mergeCell ref="E52:F52"/>
    <mergeCell ref="E7:F7"/>
    <mergeCell ref="D67:E67"/>
    <mergeCell ref="F67:F69"/>
    <mergeCell ref="G67:H67"/>
    <mergeCell ref="I67:I69"/>
    <mergeCell ref="D68:E68"/>
    <mergeCell ref="G68:H68"/>
    <mergeCell ref="F25:F26"/>
    <mergeCell ref="E55:F55"/>
    <mergeCell ref="E54:F54"/>
    <mergeCell ref="A127:I127"/>
    <mergeCell ref="A129:C129"/>
    <mergeCell ref="A130:I130"/>
    <mergeCell ref="A132:C132"/>
    <mergeCell ref="A77:I77"/>
    <mergeCell ref="A63:I63"/>
    <mergeCell ref="A64:I64"/>
    <mergeCell ref="A65:I65"/>
    <mergeCell ref="A67:A69"/>
    <mergeCell ref="B67:C69"/>
    <mergeCell ref="A263:I263"/>
    <mergeCell ref="A266:C266"/>
    <mergeCell ref="A133:I133"/>
    <mergeCell ref="A86:C86"/>
    <mergeCell ref="A87:I87"/>
    <mergeCell ref="A108:C108"/>
    <mergeCell ref="A109:I109"/>
    <mergeCell ref="A121:C121"/>
    <mergeCell ref="A122:I122"/>
    <mergeCell ref="A126:C126"/>
    <mergeCell ref="A267:I267"/>
    <mergeCell ref="A154:C154"/>
    <mergeCell ref="A155:I155"/>
    <mergeCell ref="A176:C176"/>
    <mergeCell ref="A177:I177"/>
    <mergeCell ref="A201:C201"/>
    <mergeCell ref="A202:I202"/>
    <mergeCell ref="A258:C258"/>
    <mergeCell ref="A259:I259"/>
    <mergeCell ref="A262:C262"/>
    <mergeCell ref="A292:C292"/>
    <mergeCell ref="A293:C293"/>
    <mergeCell ref="A301:I301"/>
    <mergeCell ref="A302:I302"/>
    <mergeCell ref="B304:B305"/>
    <mergeCell ref="C304:H305"/>
    <mergeCell ref="G296:H296"/>
    <mergeCell ref="F299:I299"/>
    <mergeCell ref="F357:I357"/>
    <mergeCell ref="B321:E321"/>
    <mergeCell ref="B324:B325"/>
    <mergeCell ref="C324:H325"/>
    <mergeCell ref="B350:E350"/>
    <mergeCell ref="F356:I356"/>
    <mergeCell ref="G353:H353"/>
  </mergeCells>
  <printOptions horizontalCentered="1"/>
  <pageMargins left="0.3937007874015748" right="0.3937007874015748" top="0.7480314960629921" bottom="1.5748031496062993" header="0.31496062992125984" footer="0.31496062992125984"/>
  <pageSetup orientation="portrait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4"/>
  <sheetViews>
    <sheetView zoomScalePageLayoutView="0" workbookViewId="0" topLeftCell="A298">
      <selection activeCell="C9" sqref="C9"/>
    </sheetView>
  </sheetViews>
  <sheetFormatPr defaultColWidth="11.00390625" defaultRowHeight="15"/>
  <cols>
    <col min="1" max="1" width="5.421875" style="0" bestFit="1" customWidth="1"/>
    <col min="2" max="2" width="4.28125" style="0" bestFit="1" customWidth="1"/>
    <col min="3" max="3" width="31.00390625" style="0" customWidth="1"/>
    <col min="4" max="4" width="18.7109375" style="0" customWidth="1"/>
    <col min="5" max="6" width="20.7109375" style="0" customWidth="1"/>
    <col min="7" max="8" width="16.7109375" style="0" customWidth="1"/>
    <col min="9" max="9" width="17.7109375" style="0" customWidth="1"/>
    <col min="10" max="10" width="14.7109375" style="0" customWidth="1"/>
    <col min="11" max="11" width="12.5742187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797</v>
      </c>
      <c r="F7" s="259"/>
    </row>
    <row r="8" spans="1:6" ht="18.75">
      <c r="A8" s="246" t="s">
        <v>748</v>
      </c>
      <c r="B8" s="246"/>
      <c r="C8" s="136" t="s">
        <v>889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136"/>
      <c r="F20" s="136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784</v>
      </c>
      <c r="C22" s="135"/>
      <c r="D22" s="135"/>
      <c r="E22" s="135"/>
      <c r="F22" s="137"/>
    </row>
    <row r="23" spans="2:6" ht="18.75">
      <c r="B23" s="135" t="s">
        <v>798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799</v>
      </c>
      <c r="D29" s="147"/>
      <c r="E29" s="147"/>
      <c r="F29" s="148">
        <f>'[1]maret'!F28</f>
        <v>1995294497</v>
      </c>
    </row>
    <row r="30" spans="1:6" ht="18.75">
      <c r="A30" s="140"/>
      <c r="B30" s="145"/>
      <c r="C30" s="146" t="s">
        <v>800</v>
      </c>
      <c r="D30" s="198">
        <v>85910846</v>
      </c>
      <c r="E30" s="150"/>
      <c r="F30" s="147"/>
    </row>
    <row r="31" spans="1:6" ht="18.75">
      <c r="A31" s="140"/>
      <c r="B31" s="145"/>
      <c r="C31" s="146" t="s">
        <v>801</v>
      </c>
      <c r="D31" s="147"/>
      <c r="E31" s="151">
        <v>31545900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2049659443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799</v>
      </c>
      <c r="D34" s="157"/>
      <c r="E34" s="158"/>
      <c r="F34" s="157">
        <f>'[1]maret'!F33</f>
        <v>2675000</v>
      </c>
    </row>
    <row r="35" spans="1:6" ht="18.75">
      <c r="A35" s="140"/>
      <c r="B35" s="145"/>
      <c r="C35" s="146" t="s">
        <v>800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801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85910846</v>
      </c>
      <c r="E38" s="160">
        <f>E31+E36</f>
        <v>31545900</v>
      </c>
      <c r="F38" s="161">
        <f>F32+F37</f>
        <v>2052334443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799</v>
      </c>
      <c r="D41" s="147"/>
      <c r="E41" s="166"/>
      <c r="F41" s="160">
        <f>'[1]maret'!F40</f>
        <v>1192283329</v>
      </c>
    </row>
    <row r="42" spans="1:6" ht="18.75">
      <c r="A42" s="167"/>
      <c r="B42" s="145"/>
      <c r="C42" s="146" t="s">
        <v>800</v>
      </c>
      <c r="D42" s="197">
        <v>42212343</v>
      </c>
      <c r="E42" s="168"/>
      <c r="F42" s="166"/>
    </row>
    <row r="43" spans="1:6" ht="18.75">
      <c r="A43" s="140"/>
      <c r="B43" s="145"/>
      <c r="C43" s="146" t="s">
        <v>801</v>
      </c>
      <c r="D43" s="150"/>
      <c r="E43" s="196">
        <v>13422836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1221072836</v>
      </c>
    </row>
    <row r="45" spans="1:6" ht="18.75">
      <c r="A45" s="140"/>
      <c r="B45" s="145"/>
      <c r="C45" s="171" t="s">
        <v>802</v>
      </c>
      <c r="D45" s="172">
        <f>D30+D42</f>
        <v>128123189</v>
      </c>
      <c r="E45" s="172">
        <f>E31+E43</f>
        <v>44968736</v>
      </c>
      <c r="F45" s="173">
        <f>F38+F44</f>
        <v>3273407279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79"/>
    </row>
    <row r="49" spans="1:6" ht="18.75">
      <c r="A49" s="175"/>
      <c r="B49" s="176" t="s">
        <v>773</v>
      </c>
      <c r="C49" s="137"/>
      <c r="D49" s="177"/>
      <c r="E49" s="137"/>
      <c r="F49" s="180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2" spans="1:9" ht="22.5">
      <c r="A62" s="206" t="s">
        <v>0</v>
      </c>
      <c r="B62" s="206"/>
      <c r="C62" s="206"/>
      <c r="D62" s="206"/>
      <c r="E62" s="206"/>
      <c r="F62" s="206"/>
      <c r="G62" s="206"/>
      <c r="H62" s="206"/>
      <c r="I62" s="206"/>
    </row>
    <row r="63" spans="1:9" ht="22.5">
      <c r="A63" s="206" t="s">
        <v>1</v>
      </c>
      <c r="B63" s="206"/>
      <c r="C63" s="206"/>
      <c r="D63" s="206"/>
      <c r="E63" s="206"/>
      <c r="F63" s="206"/>
      <c r="G63" s="206"/>
      <c r="H63" s="206"/>
      <c r="I63" s="206"/>
    </row>
    <row r="64" spans="1:9" ht="20.25">
      <c r="A64" s="207" t="s">
        <v>344</v>
      </c>
      <c r="B64" s="207"/>
      <c r="C64" s="207"/>
      <c r="D64" s="207"/>
      <c r="E64" s="207"/>
      <c r="F64" s="207"/>
      <c r="G64" s="207"/>
      <c r="H64" s="207"/>
      <c r="I64" s="207"/>
    </row>
    <row r="65" spans="1:9" ht="15.75" thickBot="1">
      <c r="A65" s="1"/>
      <c r="B65" s="1"/>
      <c r="C65" s="1"/>
      <c r="D65" s="1"/>
      <c r="E65" s="1"/>
      <c r="F65" s="1"/>
      <c r="G65" s="1"/>
      <c r="H65" s="1"/>
      <c r="I65" s="1"/>
    </row>
    <row r="66" spans="1:9" ht="15.75" thickTop="1">
      <c r="A66" s="208" t="s">
        <v>2</v>
      </c>
      <c r="B66" s="211" t="s">
        <v>3</v>
      </c>
      <c r="C66" s="267"/>
      <c r="D66" s="217" t="s">
        <v>4</v>
      </c>
      <c r="E66" s="218"/>
      <c r="F66" s="219" t="s">
        <v>5</v>
      </c>
      <c r="G66" s="217" t="s">
        <v>4</v>
      </c>
      <c r="H66" s="218"/>
      <c r="I66" s="219" t="s">
        <v>5</v>
      </c>
    </row>
    <row r="67" spans="1:9" ht="15">
      <c r="A67" s="209"/>
      <c r="B67" s="213"/>
      <c r="C67" s="268"/>
      <c r="D67" s="222" t="s">
        <v>304</v>
      </c>
      <c r="E67" s="223"/>
      <c r="F67" s="220"/>
      <c r="G67" s="222" t="s">
        <v>345</v>
      </c>
      <c r="H67" s="223"/>
      <c r="I67" s="220"/>
    </row>
    <row r="68" spans="1:12" ht="15">
      <c r="A68" s="210"/>
      <c r="B68" s="215"/>
      <c r="C68" s="269"/>
      <c r="D68" s="2" t="s">
        <v>6</v>
      </c>
      <c r="E68" s="2" t="s">
        <v>7</v>
      </c>
      <c r="F68" s="221"/>
      <c r="G68" s="2" t="s">
        <v>6</v>
      </c>
      <c r="H68" s="2" t="s">
        <v>7</v>
      </c>
      <c r="I68" s="221"/>
      <c r="L68" t="s">
        <v>198</v>
      </c>
    </row>
    <row r="69" spans="1:9" ht="15">
      <c r="A69" s="230" t="s">
        <v>8</v>
      </c>
      <c r="B69" s="231"/>
      <c r="C69" s="231"/>
      <c r="D69" s="231"/>
      <c r="E69" s="231"/>
      <c r="F69" s="231"/>
      <c r="G69" s="231"/>
      <c r="H69" s="231"/>
      <c r="I69" s="232"/>
    </row>
    <row r="70" spans="1:9" ht="15">
      <c r="A70" s="80">
        <v>1</v>
      </c>
      <c r="B70" s="3">
        <v>1</v>
      </c>
      <c r="C70" s="4" t="s">
        <v>9</v>
      </c>
      <c r="D70" s="5"/>
      <c r="E70" s="5">
        <v>5000000</v>
      </c>
      <c r="F70" s="6">
        <f>SUM(D70:E70)</f>
        <v>5000000</v>
      </c>
      <c r="G70" s="5"/>
      <c r="H70" s="5"/>
      <c r="I70" s="6">
        <f>SUM(G70:H70)</f>
        <v>0</v>
      </c>
    </row>
    <row r="71" spans="1:9" ht="15">
      <c r="A71" s="80">
        <v>2</v>
      </c>
      <c r="B71" s="3">
        <v>2</v>
      </c>
      <c r="C71" s="4" t="s">
        <v>10</v>
      </c>
      <c r="D71" s="5"/>
      <c r="E71" s="5"/>
      <c r="F71" s="6">
        <f>SUM(D71:E71)</f>
        <v>0</v>
      </c>
      <c r="G71" s="5"/>
      <c r="H71" s="5"/>
      <c r="I71" s="6">
        <f>SUM(G71:H71)</f>
        <v>0</v>
      </c>
    </row>
    <row r="72" spans="1:9" ht="15">
      <c r="A72" s="224" t="s">
        <v>5</v>
      </c>
      <c r="B72" s="225"/>
      <c r="C72" s="225"/>
      <c r="D72" s="7">
        <f>SUM(D70:D71)</f>
        <v>0</v>
      </c>
      <c r="E72" s="8">
        <f>SUM(E70:E71)</f>
        <v>5000000</v>
      </c>
      <c r="F72" s="7">
        <f>SUM(D72:E72)</f>
        <v>5000000</v>
      </c>
      <c r="G72" s="7">
        <f>SUM(G70:G71)</f>
        <v>0</v>
      </c>
      <c r="H72" s="8">
        <f>SUM(H70:H71)</f>
        <v>0</v>
      </c>
      <c r="I72" s="7">
        <f>SUM(G72:H72)</f>
        <v>0</v>
      </c>
    </row>
    <row r="73" spans="1:9" ht="15">
      <c r="A73" s="227" t="s">
        <v>11</v>
      </c>
      <c r="B73" s="228"/>
      <c r="C73" s="228"/>
      <c r="D73" s="228"/>
      <c r="E73" s="228"/>
      <c r="F73" s="228"/>
      <c r="G73" s="228"/>
      <c r="H73" s="228"/>
      <c r="I73" s="229"/>
    </row>
    <row r="74" spans="1:9" ht="15">
      <c r="A74" s="9">
        <v>3</v>
      </c>
      <c r="B74" s="9">
        <v>1</v>
      </c>
      <c r="C74" s="10" t="s">
        <v>12</v>
      </c>
      <c r="D74" s="5">
        <v>2100089</v>
      </c>
      <c r="E74" s="5"/>
      <c r="F74" s="6">
        <f>SUM(D74:E74)</f>
        <v>2100089</v>
      </c>
      <c r="G74" s="5">
        <v>2111614</v>
      </c>
      <c r="H74" s="5"/>
      <c r="I74" s="6">
        <f>SUM(G74:H74)</f>
        <v>2111614</v>
      </c>
    </row>
    <row r="75" spans="1:9" ht="15">
      <c r="A75" s="224" t="s">
        <v>5</v>
      </c>
      <c r="B75" s="225"/>
      <c r="C75" s="225"/>
      <c r="D75" s="7">
        <f>SUM(D73:D74)</f>
        <v>2100089</v>
      </c>
      <c r="E75" s="8">
        <f>SUM(E73:E74)</f>
        <v>0</v>
      </c>
      <c r="F75" s="7">
        <f>SUM(D75:E75)</f>
        <v>2100089</v>
      </c>
      <c r="G75" s="7">
        <f>SUM(G73:G74)</f>
        <v>2111614</v>
      </c>
      <c r="H75" s="8">
        <f>SUM(H73:H74)</f>
        <v>0</v>
      </c>
      <c r="I75" s="7">
        <f>SUM(G75:H75)</f>
        <v>2111614</v>
      </c>
    </row>
    <row r="76" spans="1:9" ht="15">
      <c r="A76" s="224" t="s">
        <v>13</v>
      </c>
      <c r="B76" s="225"/>
      <c r="C76" s="225"/>
      <c r="D76" s="225"/>
      <c r="E76" s="225"/>
      <c r="F76" s="225"/>
      <c r="G76" s="225"/>
      <c r="H76" s="225"/>
      <c r="I76" s="226"/>
    </row>
    <row r="77" spans="1:9" ht="15">
      <c r="A77" s="11">
        <v>4</v>
      </c>
      <c r="B77" s="12">
        <v>1</v>
      </c>
      <c r="C77" s="95" t="s">
        <v>312</v>
      </c>
      <c r="D77" s="5">
        <v>2345000</v>
      </c>
      <c r="E77" s="5">
        <v>509000</v>
      </c>
      <c r="F77" s="6">
        <f aca="true" t="shared" si="0" ref="F77:F85">SUM(D77:E77)</f>
        <v>2854000</v>
      </c>
      <c r="G77" s="5">
        <v>2345000</v>
      </c>
      <c r="H77" s="5">
        <v>509000</v>
      </c>
      <c r="I77" s="6">
        <f aca="true" t="shared" si="1" ref="I77:I84">SUM(G77:H77)</f>
        <v>2854000</v>
      </c>
    </row>
    <row r="78" spans="1:9" ht="15">
      <c r="A78" s="11">
        <v>5</v>
      </c>
      <c r="B78" s="12">
        <v>2</v>
      </c>
      <c r="C78" s="13" t="s">
        <v>234</v>
      </c>
      <c r="D78" s="5">
        <v>1520727</v>
      </c>
      <c r="E78" s="5">
        <v>220550</v>
      </c>
      <c r="F78" s="6">
        <f t="shared" si="0"/>
        <v>1741277</v>
      </c>
      <c r="G78" s="5">
        <v>1720600</v>
      </c>
      <c r="H78" s="5">
        <v>220550</v>
      </c>
      <c r="I78" s="6">
        <f t="shared" si="1"/>
        <v>1941150</v>
      </c>
    </row>
    <row r="79" spans="1:9" ht="15">
      <c r="A79" s="11">
        <v>6</v>
      </c>
      <c r="B79" s="12">
        <v>3</v>
      </c>
      <c r="C79" s="13" t="s">
        <v>15</v>
      </c>
      <c r="D79" s="5">
        <v>2516450</v>
      </c>
      <c r="E79" s="14">
        <v>259300</v>
      </c>
      <c r="F79" s="6">
        <f t="shared" si="0"/>
        <v>2775750</v>
      </c>
      <c r="G79" s="5">
        <v>2521400</v>
      </c>
      <c r="H79" s="14">
        <v>112100</v>
      </c>
      <c r="I79" s="6">
        <f t="shared" si="1"/>
        <v>2633500</v>
      </c>
    </row>
    <row r="80" spans="1:9" ht="15">
      <c r="A80" s="11">
        <v>7</v>
      </c>
      <c r="B80" s="12">
        <v>4</v>
      </c>
      <c r="C80" s="13" t="s">
        <v>16</v>
      </c>
      <c r="D80" s="5"/>
      <c r="E80" s="5"/>
      <c r="F80" s="6">
        <f t="shared" si="0"/>
        <v>0</v>
      </c>
      <c r="G80" s="5"/>
      <c r="H80" s="5"/>
      <c r="I80" s="6">
        <f t="shared" si="1"/>
        <v>0</v>
      </c>
    </row>
    <row r="81" spans="1:9" ht="15">
      <c r="A81" s="11">
        <v>8</v>
      </c>
      <c r="B81" s="12">
        <v>5</v>
      </c>
      <c r="C81" s="13" t="s">
        <v>17</v>
      </c>
      <c r="D81" s="5"/>
      <c r="E81" s="5"/>
      <c r="F81" s="6">
        <f t="shared" si="0"/>
        <v>0</v>
      </c>
      <c r="G81" s="5"/>
      <c r="H81" s="5"/>
      <c r="I81" s="6">
        <f t="shared" si="1"/>
        <v>0</v>
      </c>
    </row>
    <row r="82" spans="1:9" ht="15">
      <c r="A82" s="11">
        <v>9</v>
      </c>
      <c r="B82" s="12">
        <v>6</v>
      </c>
      <c r="C82" s="13" t="s">
        <v>18</v>
      </c>
      <c r="D82" s="5"/>
      <c r="E82" s="5"/>
      <c r="F82" s="6">
        <f t="shared" si="0"/>
        <v>0</v>
      </c>
      <c r="G82" s="5"/>
      <c r="H82" s="5"/>
      <c r="I82" s="6">
        <f t="shared" si="1"/>
        <v>0</v>
      </c>
    </row>
    <row r="83" spans="1:9" ht="15">
      <c r="A83" s="11">
        <v>10</v>
      </c>
      <c r="B83" s="12">
        <v>7</v>
      </c>
      <c r="C83" s="15" t="s">
        <v>19</v>
      </c>
      <c r="D83" s="5">
        <v>226610</v>
      </c>
      <c r="E83" s="5">
        <v>63000</v>
      </c>
      <c r="F83" s="6">
        <f t="shared" si="0"/>
        <v>289610</v>
      </c>
      <c r="G83" s="5">
        <v>229108</v>
      </c>
      <c r="H83" s="5">
        <v>63000</v>
      </c>
      <c r="I83" s="6">
        <f t="shared" si="1"/>
        <v>292108</v>
      </c>
    </row>
    <row r="84" spans="1:9" ht="15">
      <c r="A84" s="90">
        <v>11</v>
      </c>
      <c r="B84" s="12">
        <v>8</v>
      </c>
      <c r="C84" s="13" t="s">
        <v>307</v>
      </c>
      <c r="D84" s="5">
        <v>2347621</v>
      </c>
      <c r="E84" s="5">
        <v>365000</v>
      </c>
      <c r="F84" s="6">
        <f t="shared" si="0"/>
        <v>2712621</v>
      </c>
      <c r="G84" s="5">
        <v>2376406</v>
      </c>
      <c r="H84" s="5">
        <v>365000</v>
      </c>
      <c r="I84" s="6">
        <f t="shared" si="1"/>
        <v>2741406</v>
      </c>
    </row>
    <row r="85" spans="1:11" ht="15">
      <c r="A85" s="224" t="s">
        <v>5</v>
      </c>
      <c r="B85" s="225"/>
      <c r="C85" s="225"/>
      <c r="D85" s="7">
        <f>SUM(D77:D84)</f>
        <v>8956408</v>
      </c>
      <c r="E85" s="7">
        <f>SUM(E77:E84)</f>
        <v>1416850</v>
      </c>
      <c r="F85" s="7">
        <f t="shared" si="0"/>
        <v>10373258</v>
      </c>
      <c r="G85" s="7">
        <f>SUM(G77:G84)</f>
        <v>9192514</v>
      </c>
      <c r="H85" s="7">
        <f>SUM(H77:H84)</f>
        <v>1269650</v>
      </c>
      <c r="I85" s="7">
        <f>SUM(G85:H85)</f>
        <v>10462164</v>
      </c>
      <c r="K85" s="16"/>
    </row>
    <row r="86" spans="1:9" ht="15">
      <c r="A86" s="224" t="s">
        <v>20</v>
      </c>
      <c r="B86" s="225"/>
      <c r="C86" s="225"/>
      <c r="D86" s="225"/>
      <c r="E86" s="225"/>
      <c r="F86" s="225"/>
      <c r="G86" s="225"/>
      <c r="H86" s="225"/>
      <c r="I86" s="226"/>
    </row>
    <row r="87" spans="1:9" ht="15">
      <c r="A87" s="17">
        <v>12</v>
      </c>
      <c r="B87" s="15">
        <v>1</v>
      </c>
      <c r="C87" s="13" t="s">
        <v>255</v>
      </c>
      <c r="D87" s="5">
        <v>2356415</v>
      </c>
      <c r="E87" s="18">
        <v>1380215</v>
      </c>
      <c r="F87" s="6">
        <f>SUM(D87:E87)</f>
        <v>3736630</v>
      </c>
      <c r="G87" s="5">
        <v>2356415</v>
      </c>
      <c r="H87" s="18">
        <v>1368215</v>
      </c>
      <c r="I87" s="6">
        <f>SUM(G87:H87)</f>
        <v>3724630</v>
      </c>
    </row>
    <row r="88" spans="1:9" ht="15">
      <c r="A88" s="17">
        <v>13</v>
      </c>
      <c r="B88" s="15">
        <v>2</v>
      </c>
      <c r="C88" s="13" t="s">
        <v>21</v>
      </c>
      <c r="D88" s="5">
        <v>3830610</v>
      </c>
      <c r="E88" s="5">
        <v>5060000</v>
      </c>
      <c r="F88" s="6">
        <f aca="true" t="shared" si="2" ref="F88:F99">SUM(D88:E88)</f>
        <v>8890610</v>
      </c>
      <c r="G88" s="5">
        <v>3827163</v>
      </c>
      <c r="H88" s="5">
        <v>5055000</v>
      </c>
      <c r="I88" s="6">
        <f aca="true" t="shared" si="3" ref="I88:I106">SUM(G88:H88)</f>
        <v>8882163</v>
      </c>
    </row>
    <row r="89" spans="1:9" ht="15">
      <c r="A89" s="17">
        <v>14</v>
      </c>
      <c r="B89" s="15">
        <v>3</v>
      </c>
      <c r="C89" s="13" t="s">
        <v>22</v>
      </c>
      <c r="D89" s="5">
        <v>2162750</v>
      </c>
      <c r="E89" s="5">
        <v>595000</v>
      </c>
      <c r="F89" s="6">
        <f t="shared" si="2"/>
        <v>2757750</v>
      </c>
      <c r="G89" s="5"/>
      <c r="H89" s="5"/>
      <c r="I89" s="6">
        <f t="shared" si="3"/>
        <v>0</v>
      </c>
    </row>
    <row r="90" spans="1:9" ht="15">
      <c r="A90" s="17">
        <v>15</v>
      </c>
      <c r="B90" s="15">
        <v>4</v>
      </c>
      <c r="C90" s="13" t="s">
        <v>253</v>
      </c>
      <c r="D90" s="5">
        <v>675786</v>
      </c>
      <c r="E90" s="5">
        <v>763785</v>
      </c>
      <c r="F90" s="6">
        <f t="shared" si="2"/>
        <v>1439571</v>
      </c>
      <c r="G90" s="5">
        <v>675786</v>
      </c>
      <c r="H90" s="5">
        <v>758785</v>
      </c>
      <c r="I90" s="6">
        <f t="shared" si="3"/>
        <v>1434571</v>
      </c>
    </row>
    <row r="91" spans="1:9" ht="15">
      <c r="A91" s="17">
        <v>16</v>
      </c>
      <c r="B91" s="15">
        <v>5</v>
      </c>
      <c r="C91" s="13" t="s">
        <v>24</v>
      </c>
      <c r="D91" s="5">
        <v>2503700</v>
      </c>
      <c r="E91" s="5">
        <v>90000</v>
      </c>
      <c r="F91" s="6">
        <f t="shared" si="2"/>
        <v>2593700</v>
      </c>
      <c r="G91" s="5">
        <v>2526900</v>
      </c>
      <c r="H91" s="5">
        <v>90000</v>
      </c>
      <c r="I91" s="6">
        <f t="shared" si="3"/>
        <v>2616900</v>
      </c>
    </row>
    <row r="92" spans="1:9" ht="15">
      <c r="A92" s="17">
        <v>17</v>
      </c>
      <c r="B92" s="15">
        <v>6</v>
      </c>
      <c r="C92" s="13" t="s">
        <v>25</v>
      </c>
      <c r="D92" s="5">
        <v>2040000</v>
      </c>
      <c r="E92" s="5">
        <v>476000</v>
      </c>
      <c r="F92" s="6">
        <f t="shared" si="2"/>
        <v>2516000</v>
      </c>
      <c r="G92" s="5">
        <v>2040000</v>
      </c>
      <c r="H92" s="5">
        <v>476000</v>
      </c>
      <c r="I92" s="6">
        <f t="shared" si="3"/>
        <v>2516000</v>
      </c>
    </row>
    <row r="93" spans="1:9" ht="15">
      <c r="A93" s="17">
        <v>18</v>
      </c>
      <c r="B93" s="15">
        <v>7</v>
      </c>
      <c r="C93" s="95" t="s">
        <v>26</v>
      </c>
      <c r="D93" s="5">
        <v>3891800</v>
      </c>
      <c r="E93" s="5">
        <v>182500</v>
      </c>
      <c r="F93" s="6">
        <f t="shared" si="2"/>
        <v>4074300</v>
      </c>
      <c r="G93" s="5">
        <f>3913750+1195500</f>
        <v>5109250</v>
      </c>
      <c r="H93" s="5">
        <f>182350+300000</f>
        <v>482350</v>
      </c>
      <c r="I93" s="6">
        <f t="shared" si="3"/>
        <v>5591600</v>
      </c>
    </row>
    <row r="94" spans="1:9" ht="15">
      <c r="A94" s="17">
        <v>19</v>
      </c>
      <c r="B94" s="15">
        <v>8</v>
      </c>
      <c r="C94" s="95" t="s">
        <v>242</v>
      </c>
      <c r="D94" s="5">
        <v>3819400</v>
      </c>
      <c r="E94" s="5"/>
      <c r="F94" s="6">
        <f t="shared" si="2"/>
        <v>3819400</v>
      </c>
      <c r="G94" s="5">
        <v>2560100</v>
      </c>
      <c r="H94" s="5"/>
      <c r="I94" s="6">
        <f t="shared" si="3"/>
        <v>2560100</v>
      </c>
    </row>
    <row r="95" spans="1:9" ht="15">
      <c r="A95" s="17">
        <v>20</v>
      </c>
      <c r="B95" s="15">
        <v>9</v>
      </c>
      <c r="C95" s="95" t="s">
        <v>28</v>
      </c>
      <c r="D95" s="5">
        <f>860000+860000</f>
        <v>1720000</v>
      </c>
      <c r="E95" s="5">
        <f>152000*2</f>
        <v>304000</v>
      </c>
      <c r="F95" s="6">
        <f t="shared" si="2"/>
        <v>2024000</v>
      </c>
      <c r="G95" s="5">
        <v>860000</v>
      </c>
      <c r="H95" s="5">
        <v>152000</v>
      </c>
      <c r="I95" s="6">
        <f t="shared" si="3"/>
        <v>1012000</v>
      </c>
    </row>
    <row r="96" spans="1:9" ht="15">
      <c r="A96" s="17">
        <v>21</v>
      </c>
      <c r="B96" s="15">
        <v>10</v>
      </c>
      <c r="C96" s="95" t="s">
        <v>203</v>
      </c>
      <c r="D96" s="5">
        <v>2770676</v>
      </c>
      <c r="E96" s="5">
        <v>1465000</v>
      </c>
      <c r="F96" s="6">
        <f t="shared" si="2"/>
        <v>4235676</v>
      </c>
      <c r="G96" s="5">
        <v>2772879</v>
      </c>
      <c r="H96" s="5">
        <v>1470000</v>
      </c>
      <c r="I96" s="6">
        <f t="shared" si="3"/>
        <v>4242879</v>
      </c>
    </row>
    <row r="97" spans="1:9" ht="15">
      <c r="A97" s="17">
        <v>22</v>
      </c>
      <c r="B97" s="15">
        <v>11</v>
      </c>
      <c r="C97" s="95" t="s">
        <v>244</v>
      </c>
      <c r="D97" s="5">
        <v>1411875</v>
      </c>
      <c r="E97" s="5">
        <v>384133</v>
      </c>
      <c r="F97" s="6">
        <f t="shared" si="2"/>
        <v>1796008</v>
      </c>
      <c r="G97" s="5">
        <v>1451145</v>
      </c>
      <c r="H97" s="5">
        <v>389133</v>
      </c>
      <c r="I97" s="6">
        <f t="shared" si="3"/>
        <v>1840278</v>
      </c>
    </row>
    <row r="98" spans="1:9" ht="15">
      <c r="A98" s="17">
        <v>23</v>
      </c>
      <c r="B98" s="15">
        <v>12</v>
      </c>
      <c r="C98" s="95" t="s">
        <v>31</v>
      </c>
      <c r="D98" s="5">
        <v>1330000</v>
      </c>
      <c r="E98" s="18">
        <v>330000</v>
      </c>
      <c r="F98" s="6">
        <f t="shared" si="2"/>
        <v>1660000</v>
      </c>
      <c r="G98" s="5"/>
      <c r="H98" s="18"/>
      <c r="I98" s="6">
        <f t="shared" si="3"/>
        <v>0</v>
      </c>
    </row>
    <row r="99" spans="1:9" ht="15">
      <c r="A99" s="17">
        <v>24</v>
      </c>
      <c r="B99" s="15">
        <v>13</v>
      </c>
      <c r="C99" s="95" t="s">
        <v>32</v>
      </c>
      <c r="D99" s="5"/>
      <c r="E99" s="5"/>
      <c r="F99" s="6">
        <f t="shared" si="2"/>
        <v>0</v>
      </c>
      <c r="G99" s="5"/>
      <c r="H99" s="5"/>
      <c r="I99" s="6">
        <f t="shared" si="3"/>
        <v>0</v>
      </c>
    </row>
    <row r="100" spans="1:9" ht="15">
      <c r="A100" s="17">
        <v>25</v>
      </c>
      <c r="B100" s="15">
        <v>14</v>
      </c>
      <c r="C100" s="95" t="s">
        <v>229</v>
      </c>
      <c r="D100" s="5"/>
      <c r="E100" s="5"/>
      <c r="F100" s="6">
        <f aca="true" t="shared" si="4" ref="F100:F106">SUM(D100:E100)</f>
        <v>0</v>
      </c>
      <c r="G100" s="5"/>
      <c r="H100" s="5"/>
      <c r="I100" s="6">
        <f t="shared" si="3"/>
        <v>0</v>
      </c>
    </row>
    <row r="101" spans="1:9" ht="15">
      <c r="A101" s="17">
        <v>26</v>
      </c>
      <c r="B101" s="15">
        <v>15</v>
      </c>
      <c r="C101" s="95" t="s">
        <v>230</v>
      </c>
      <c r="D101" s="5">
        <v>865000</v>
      </c>
      <c r="E101" s="5">
        <v>1699100</v>
      </c>
      <c r="F101" s="6">
        <f t="shared" si="4"/>
        <v>2564100</v>
      </c>
      <c r="G101" s="5">
        <v>865000</v>
      </c>
      <c r="H101" s="5">
        <v>1699100</v>
      </c>
      <c r="I101" s="6">
        <f t="shared" si="3"/>
        <v>2564100</v>
      </c>
    </row>
    <row r="102" spans="1:9" ht="15">
      <c r="A102" s="17">
        <v>27</v>
      </c>
      <c r="B102" s="15">
        <v>16</v>
      </c>
      <c r="C102" s="95" t="s">
        <v>252</v>
      </c>
      <c r="D102" s="5">
        <v>1303418</v>
      </c>
      <c r="E102" s="5">
        <v>25000</v>
      </c>
      <c r="F102" s="6">
        <f t="shared" si="4"/>
        <v>1328418</v>
      </c>
      <c r="G102" s="5">
        <v>1303418</v>
      </c>
      <c r="H102" s="5">
        <v>25000</v>
      </c>
      <c r="I102" s="6">
        <f t="shared" si="3"/>
        <v>1328418</v>
      </c>
    </row>
    <row r="103" spans="1:9" ht="15">
      <c r="A103" s="17">
        <v>28</v>
      </c>
      <c r="B103" s="15">
        <v>17</v>
      </c>
      <c r="C103" s="95" t="s">
        <v>313</v>
      </c>
      <c r="D103" s="5">
        <f>613000+420000+420000</f>
        <v>1453000</v>
      </c>
      <c r="E103" s="5">
        <f>555000+525000+525000</f>
        <v>1605000</v>
      </c>
      <c r="F103" s="6">
        <f t="shared" si="4"/>
        <v>3058000</v>
      </c>
      <c r="G103" s="5">
        <v>422000</v>
      </c>
      <c r="H103" s="5">
        <v>525000</v>
      </c>
      <c r="I103" s="6">
        <f t="shared" si="3"/>
        <v>947000</v>
      </c>
    </row>
    <row r="104" spans="1:9" ht="15">
      <c r="A104" s="17">
        <v>29</v>
      </c>
      <c r="B104" s="15">
        <v>18</v>
      </c>
      <c r="C104" s="96" t="s">
        <v>240</v>
      </c>
      <c r="D104" s="5">
        <v>3281550</v>
      </c>
      <c r="E104" s="5"/>
      <c r="F104" s="6">
        <f t="shared" si="4"/>
        <v>3281550</v>
      </c>
      <c r="G104" s="5">
        <v>3306250</v>
      </c>
      <c r="H104" s="5"/>
      <c r="I104" s="6">
        <f t="shared" si="3"/>
        <v>3306250</v>
      </c>
    </row>
    <row r="105" spans="1:9" ht="15">
      <c r="A105" s="17">
        <v>30</v>
      </c>
      <c r="B105" s="15">
        <v>19</v>
      </c>
      <c r="C105" s="96" t="s">
        <v>243</v>
      </c>
      <c r="D105" s="5">
        <v>482855</v>
      </c>
      <c r="E105" s="5">
        <v>773450</v>
      </c>
      <c r="F105" s="6">
        <f t="shared" si="4"/>
        <v>1256305</v>
      </c>
      <c r="G105" s="5">
        <v>482855</v>
      </c>
      <c r="H105" s="5">
        <v>773450</v>
      </c>
      <c r="I105" s="6">
        <f t="shared" si="3"/>
        <v>1256305</v>
      </c>
    </row>
    <row r="106" spans="1:9" ht="15">
      <c r="A106" s="17">
        <v>31</v>
      </c>
      <c r="B106" s="15">
        <v>20</v>
      </c>
      <c r="C106" s="96" t="s">
        <v>311</v>
      </c>
      <c r="D106" s="5">
        <v>769228</v>
      </c>
      <c r="E106" s="5">
        <v>116000</v>
      </c>
      <c r="F106" s="6">
        <f t="shared" si="4"/>
        <v>885228</v>
      </c>
      <c r="G106" s="5">
        <v>769228</v>
      </c>
      <c r="H106" s="5">
        <v>116000</v>
      </c>
      <c r="I106" s="6">
        <f t="shared" si="3"/>
        <v>885228</v>
      </c>
    </row>
    <row r="107" spans="1:9" ht="15">
      <c r="A107" s="224" t="s">
        <v>5</v>
      </c>
      <c r="B107" s="225"/>
      <c r="C107" s="225"/>
      <c r="D107" s="7">
        <f>SUM(D87:D106)</f>
        <v>36668063</v>
      </c>
      <c r="E107" s="7">
        <f>SUM(E87:E106)</f>
        <v>15249183</v>
      </c>
      <c r="F107" s="7">
        <f>SUM(D107:E107)</f>
        <v>51917246</v>
      </c>
      <c r="G107" s="7">
        <f>SUM(G87:G106)</f>
        <v>31328389</v>
      </c>
      <c r="H107" s="7">
        <f>SUM(H87:H106)</f>
        <v>13380033</v>
      </c>
      <c r="I107" s="7">
        <f>SUM(G107:H107)</f>
        <v>44708422</v>
      </c>
    </row>
    <row r="108" spans="1:9" ht="15">
      <c r="A108" s="224" t="s">
        <v>33</v>
      </c>
      <c r="B108" s="225"/>
      <c r="C108" s="225"/>
      <c r="D108" s="225"/>
      <c r="E108" s="225"/>
      <c r="F108" s="225"/>
      <c r="G108" s="225"/>
      <c r="H108" s="225"/>
      <c r="I108" s="226"/>
    </row>
    <row r="109" spans="1:9" ht="15">
      <c r="A109" s="15">
        <v>32</v>
      </c>
      <c r="B109" s="15">
        <v>1</v>
      </c>
      <c r="C109" s="95" t="s">
        <v>248</v>
      </c>
      <c r="D109" s="5">
        <v>200000</v>
      </c>
      <c r="E109" s="5">
        <v>171000</v>
      </c>
      <c r="F109" s="6">
        <f>SUM(D109:E109)</f>
        <v>371000</v>
      </c>
      <c r="G109" s="5"/>
      <c r="H109" s="5"/>
      <c r="I109" s="6">
        <f>SUM(G109:H109)</f>
        <v>0</v>
      </c>
    </row>
    <row r="110" spans="1:9" ht="15">
      <c r="A110" s="15">
        <v>33</v>
      </c>
      <c r="B110" s="15">
        <v>2</v>
      </c>
      <c r="C110" s="95" t="s">
        <v>249</v>
      </c>
      <c r="D110" s="5"/>
      <c r="E110" s="5"/>
      <c r="F110" s="6">
        <f>SUM(D110:E110)</f>
        <v>0</v>
      </c>
      <c r="G110" s="5"/>
      <c r="H110" s="5"/>
      <c r="I110" s="6">
        <f>SUM(G110:H110)</f>
        <v>0</v>
      </c>
    </row>
    <row r="111" spans="1:9" ht="15">
      <c r="A111" s="15">
        <v>34</v>
      </c>
      <c r="B111" s="15">
        <v>3</v>
      </c>
      <c r="C111" s="19" t="s">
        <v>34</v>
      </c>
      <c r="D111" s="5"/>
      <c r="E111" s="5"/>
      <c r="F111" s="6">
        <f aca="true" t="shared" si="5" ref="F111:F118">SUM(D111:E111)</f>
        <v>0</v>
      </c>
      <c r="G111" s="5"/>
      <c r="H111" s="5"/>
      <c r="I111" s="6">
        <f aca="true" t="shared" si="6" ref="I111:I118">SUM(G111:H111)</f>
        <v>0</v>
      </c>
    </row>
    <row r="112" spans="1:9" ht="15">
      <c r="A112" s="15">
        <v>35</v>
      </c>
      <c r="B112" s="15">
        <v>4</v>
      </c>
      <c r="C112" s="19" t="s">
        <v>35</v>
      </c>
      <c r="D112" s="5"/>
      <c r="E112" s="5"/>
      <c r="F112" s="6">
        <f t="shared" si="5"/>
        <v>0</v>
      </c>
      <c r="G112" s="5"/>
      <c r="H112" s="5"/>
      <c r="I112" s="6">
        <f t="shared" si="6"/>
        <v>0</v>
      </c>
    </row>
    <row r="113" spans="1:9" ht="15">
      <c r="A113" s="15">
        <v>36</v>
      </c>
      <c r="B113" s="15">
        <v>5</v>
      </c>
      <c r="C113" s="19" t="s">
        <v>36</v>
      </c>
      <c r="D113" s="5"/>
      <c r="E113" s="5"/>
      <c r="F113" s="6">
        <f t="shared" si="5"/>
        <v>0</v>
      </c>
      <c r="G113" s="5"/>
      <c r="H113" s="5"/>
      <c r="I113" s="6">
        <f t="shared" si="6"/>
        <v>0</v>
      </c>
    </row>
    <row r="114" spans="1:9" ht="15">
      <c r="A114" s="15">
        <v>37</v>
      </c>
      <c r="B114" s="15">
        <v>6</v>
      </c>
      <c r="C114" s="19" t="s">
        <v>37</v>
      </c>
      <c r="D114" s="5"/>
      <c r="E114" s="5"/>
      <c r="F114" s="6">
        <f t="shared" si="5"/>
        <v>0</v>
      </c>
      <c r="G114" s="5"/>
      <c r="H114" s="5"/>
      <c r="I114" s="6">
        <f t="shared" si="6"/>
        <v>0</v>
      </c>
    </row>
    <row r="115" spans="1:9" ht="15">
      <c r="A115" s="15">
        <v>38</v>
      </c>
      <c r="B115" s="15">
        <v>7</v>
      </c>
      <c r="C115" s="19" t="s">
        <v>38</v>
      </c>
      <c r="D115" s="5">
        <v>361000</v>
      </c>
      <c r="E115" s="5">
        <v>20000</v>
      </c>
      <c r="F115" s="6">
        <f t="shared" si="5"/>
        <v>381000</v>
      </c>
      <c r="G115" s="5"/>
      <c r="H115" s="5"/>
      <c r="I115" s="6">
        <f t="shared" si="6"/>
        <v>0</v>
      </c>
    </row>
    <row r="116" spans="1:9" ht="15">
      <c r="A116" s="15">
        <v>39</v>
      </c>
      <c r="B116" s="15">
        <v>8</v>
      </c>
      <c r="C116" s="19" t="s">
        <v>39</v>
      </c>
      <c r="D116" s="5">
        <v>4497974</v>
      </c>
      <c r="E116" s="5">
        <v>1232500</v>
      </c>
      <c r="F116" s="6">
        <f t="shared" si="5"/>
        <v>5730474</v>
      </c>
      <c r="G116" s="5"/>
      <c r="H116" s="5"/>
      <c r="I116" s="6">
        <f t="shared" si="6"/>
        <v>0</v>
      </c>
    </row>
    <row r="117" spans="1:9" ht="15">
      <c r="A117" s="15">
        <v>40</v>
      </c>
      <c r="B117" s="15">
        <v>9</v>
      </c>
      <c r="C117" s="19" t="s">
        <v>40</v>
      </c>
      <c r="D117" s="5"/>
      <c r="E117" s="5"/>
      <c r="F117" s="6">
        <f t="shared" si="5"/>
        <v>0</v>
      </c>
      <c r="G117" s="5"/>
      <c r="H117" s="5"/>
      <c r="I117" s="6">
        <f t="shared" si="6"/>
        <v>0</v>
      </c>
    </row>
    <row r="118" spans="1:9" ht="15">
      <c r="A118" s="15">
        <v>41</v>
      </c>
      <c r="B118" s="15">
        <v>10</v>
      </c>
      <c r="C118" s="20" t="s">
        <v>41</v>
      </c>
      <c r="D118" s="5"/>
      <c r="E118" s="5"/>
      <c r="F118" s="6">
        <f t="shared" si="5"/>
        <v>0</v>
      </c>
      <c r="G118" s="5"/>
      <c r="H118" s="5"/>
      <c r="I118" s="6">
        <f t="shared" si="6"/>
        <v>0</v>
      </c>
    </row>
    <row r="119" spans="1:9" ht="15">
      <c r="A119" s="15">
        <v>42</v>
      </c>
      <c r="B119" s="15">
        <v>11</v>
      </c>
      <c r="C119" s="97" t="s">
        <v>241</v>
      </c>
      <c r="D119" s="5"/>
      <c r="E119" s="5"/>
      <c r="F119" s="6">
        <f>SUM(D119:E119)</f>
        <v>0</v>
      </c>
      <c r="G119" s="5"/>
      <c r="H119" s="5"/>
      <c r="I119" s="6">
        <f>SUM(G119:H119)</f>
        <v>0</v>
      </c>
    </row>
    <row r="120" spans="1:9" ht="15">
      <c r="A120" s="224" t="s">
        <v>42</v>
      </c>
      <c r="B120" s="225"/>
      <c r="C120" s="233"/>
      <c r="D120" s="7">
        <f>SUM(D109:D119)</f>
        <v>5058974</v>
      </c>
      <c r="E120" s="7">
        <f>SUM(E109:E119)</f>
        <v>1423500</v>
      </c>
      <c r="F120" s="7">
        <f>SUM(D120:E120)</f>
        <v>6482474</v>
      </c>
      <c r="G120" s="7">
        <f>SUM(G109:G119)</f>
        <v>0</v>
      </c>
      <c r="H120" s="7">
        <f>SUM(H109:H119)</f>
        <v>0</v>
      </c>
      <c r="I120" s="7">
        <f>SUM(G120:H120)</f>
        <v>0</v>
      </c>
    </row>
    <row r="121" spans="1:9" ht="15">
      <c r="A121" s="224" t="s">
        <v>43</v>
      </c>
      <c r="B121" s="225"/>
      <c r="C121" s="225"/>
      <c r="D121" s="225"/>
      <c r="E121" s="225"/>
      <c r="F121" s="225"/>
      <c r="G121" s="225"/>
      <c r="H121" s="225"/>
      <c r="I121" s="226"/>
    </row>
    <row r="122" spans="1:9" ht="15">
      <c r="A122" s="15">
        <v>43</v>
      </c>
      <c r="B122" s="15">
        <v>1</v>
      </c>
      <c r="C122" s="13" t="s">
        <v>44</v>
      </c>
      <c r="D122" s="5"/>
      <c r="E122" s="5"/>
      <c r="F122" s="6">
        <f>SUM(D122:E122)</f>
        <v>0</v>
      </c>
      <c r="G122" s="5"/>
      <c r="H122" s="5"/>
      <c r="I122" s="6">
        <f>SUM(G122:H122)</f>
        <v>0</v>
      </c>
    </row>
    <row r="123" spans="1:9" ht="15">
      <c r="A123" s="15">
        <v>44</v>
      </c>
      <c r="B123" s="15">
        <v>2</v>
      </c>
      <c r="C123" s="13" t="s">
        <v>45</v>
      </c>
      <c r="D123" s="5"/>
      <c r="E123" s="5"/>
      <c r="F123" s="6">
        <f>SUM(D123:E123)</f>
        <v>0</v>
      </c>
      <c r="G123" s="5"/>
      <c r="H123" s="5"/>
      <c r="I123" s="6">
        <f>SUM(G123:H123)</f>
        <v>0</v>
      </c>
    </row>
    <row r="124" spans="1:9" ht="15">
      <c r="A124" s="15">
        <v>45</v>
      </c>
      <c r="B124" s="15">
        <v>3</v>
      </c>
      <c r="C124" s="13" t="s">
        <v>46</v>
      </c>
      <c r="D124" s="5"/>
      <c r="E124" s="5"/>
      <c r="F124" s="6">
        <f>SUM(D124:E124)</f>
        <v>0</v>
      </c>
      <c r="G124" s="5"/>
      <c r="H124" s="5"/>
      <c r="I124" s="6">
        <f>SUM(G124:H124)</f>
        <v>0</v>
      </c>
    </row>
    <row r="125" spans="1:9" ht="15">
      <c r="A125" s="224" t="s">
        <v>5</v>
      </c>
      <c r="B125" s="225"/>
      <c r="C125" s="225"/>
      <c r="D125" s="7">
        <f>SUM(D122:D124)</f>
        <v>0</v>
      </c>
      <c r="E125" s="7">
        <f>SUM(E122:E124)</f>
        <v>0</v>
      </c>
      <c r="F125" s="7">
        <f>SUM(D125:E125)</f>
        <v>0</v>
      </c>
      <c r="G125" s="7">
        <f>SUM(G122:G124)</f>
        <v>0</v>
      </c>
      <c r="H125" s="7">
        <f>SUM(H122:H124)</f>
        <v>0</v>
      </c>
      <c r="I125" s="7">
        <f>SUM(G125:H125)</f>
        <v>0</v>
      </c>
    </row>
    <row r="126" spans="1:9" ht="15">
      <c r="A126" s="224" t="s">
        <v>47</v>
      </c>
      <c r="B126" s="225"/>
      <c r="C126" s="225"/>
      <c r="D126" s="225"/>
      <c r="E126" s="225"/>
      <c r="F126" s="225"/>
      <c r="G126" s="225"/>
      <c r="H126" s="225"/>
      <c r="I126" s="226"/>
    </row>
    <row r="127" spans="1:9" ht="15">
      <c r="A127" s="15">
        <v>46</v>
      </c>
      <c r="B127" s="15">
        <v>1</v>
      </c>
      <c r="C127" s="15" t="s">
        <v>48</v>
      </c>
      <c r="D127" s="5">
        <v>800000</v>
      </c>
      <c r="E127" s="5">
        <v>200000</v>
      </c>
      <c r="F127" s="6">
        <f>SUM(D127:E127)</f>
        <v>1000000</v>
      </c>
      <c r="G127" s="5">
        <v>900000</v>
      </c>
      <c r="H127" s="5">
        <v>200000</v>
      </c>
      <c r="I127" s="6">
        <f>SUM(G127:H127)</f>
        <v>1100000</v>
      </c>
    </row>
    <row r="128" spans="1:9" ht="15">
      <c r="A128" s="224" t="s">
        <v>42</v>
      </c>
      <c r="B128" s="225"/>
      <c r="C128" s="225"/>
      <c r="D128" s="7">
        <f>D127</f>
        <v>800000</v>
      </c>
      <c r="E128" s="7">
        <f>E127</f>
        <v>200000</v>
      </c>
      <c r="F128" s="7">
        <f>SUM(D128:E128)</f>
        <v>1000000</v>
      </c>
      <c r="G128" s="7">
        <f>G127</f>
        <v>900000</v>
      </c>
      <c r="H128" s="7">
        <f>H127</f>
        <v>200000</v>
      </c>
      <c r="I128" s="7">
        <f>SUM(G128:H128)</f>
        <v>1100000</v>
      </c>
    </row>
    <row r="129" spans="1:9" ht="15">
      <c r="A129" s="224" t="s">
        <v>49</v>
      </c>
      <c r="B129" s="225"/>
      <c r="C129" s="225"/>
      <c r="D129" s="225"/>
      <c r="E129" s="225"/>
      <c r="F129" s="225"/>
      <c r="G129" s="225"/>
      <c r="H129" s="225"/>
      <c r="I129" s="226"/>
    </row>
    <row r="130" spans="1:9" ht="15">
      <c r="A130" s="15">
        <v>47</v>
      </c>
      <c r="B130" s="15">
        <v>1</v>
      </c>
      <c r="C130" s="19" t="s">
        <v>50</v>
      </c>
      <c r="D130" s="5">
        <v>1800720</v>
      </c>
      <c r="E130" s="5">
        <v>509150</v>
      </c>
      <c r="F130" s="6">
        <f>SUM(D130:E130)</f>
        <v>2309870</v>
      </c>
      <c r="G130" s="5">
        <v>1800720</v>
      </c>
      <c r="H130" s="5">
        <v>509150</v>
      </c>
      <c r="I130" s="6">
        <f>SUM(G130:H130)</f>
        <v>2309870</v>
      </c>
    </row>
    <row r="131" spans="1:9" ht="15">
      <c r="A131" s="224" t="s">
        <v>42</v>
      </c>
      <c r="B131" s="225"/>
      <c r="C131" s="225"/>
      <c r="D131" s="7">
        <f>D130</f>
        <v>1800720</v>
      </c>
      <c r="E131" s="7">
        <f>E130</f>
        <v>509150</v>
      </c>
      <c r="F131" s="7">
        <f>SUM(D131:E131)</f>
        <v>2309870</v>
      </c>
      <c r="G131" s="7">
        <f>G130</f>
        <v>1800720</v>
      </c>
      <c r="H131" s="7">
        <f>H130</f>
        <v>509150</v>
      </c>
      <c r="I131" s="7">
        <f>SUM(G131:H131)</f>
        <v>2309870</v>
      </c>
    </row>
    <row r="132" spans="1:9" ht="15">
      <c r="A132" s="224" t="s">
        <v>51</v>
      </c>
      <c r="B132" s="225"/>
      <c r="C132" s="225"/>
      <c r="D132" s="225"/>
      <c r="E132" s="225"/>
      <c r="F132" s="225"/>
      <c r="G132" s="225"/>
      <c r="H132" s="225"/>
      <c r="I132" s="226"/>
    </row>
    <row r="133" spans="1:9" ht="15">
      <c r="A133" s="15">
        <v>48</v>
      </c>
      <c r="B133" s="15">
        <v>1</v>
      </c>
      <c r="C133" s="19" t="s">
        <v>52</v>
      </c>
      <c r="D133" s="5">
        <v>1657000</v>
      </c>
      <c r="E133" s="5">
        <v>649500</v>
      </c>
      <c r="F133" s="6">
        <f>SUM(D133:E133)</f>
        <v>2306500</v>
      </c>
      <c r="G133" s="5">
        <v>1657000</v>
      </c>
      <c r="H133" s="5">
        <v>649500</v>
      </c>
      <c r="I133" s="6">
        <f>SUM(G133:H133)</f>
        <v>2306500</v>
      </c>
    </row>
    <row r="134" spans="1:9" ht="15">
      <c r="A134" s="15">
        <v>49</v>
      </c>
      <c r="B134" s="15">
        <v>2</v>
      </c>
      <c r="C134" s="19" t="s">
        <v>53</v>
      </c>
      <c r="D134" s="5">
        <v>244000</v>
      </c>
      <c r="E134" s="5">
        <v>555000</v>
      </c>
      <c r="F134" s="6">
        <f aca="true" t="shared" si="7" ref="F134:F152">SUM(D134:E134)</f>
        <v>799000</v>
      </c>
      <c r="G134" s="5">
        <v>244000</v>
      </c>
      <c r="H134" s="5">
        <v>555000</v>
      </c>
      <c r="I134" s="6">
        <f aca="true" t="shared" si="8" ref="I134:I142">SUM(G134:H134)</f>
        <v>799000</v>
      </c>
    </row>
    <row r="135" spans="1:9" ht="15">
      <c r="A135" s="15">
        <v>50</v>
      </c>
      <c r="B135" s="15">
        <v>3</v>
      </c>
      <c r="C135" s="20" t="s">
        <v>54</v>
      </c>
      <c r="D135" s="5">
        <v>1572000</v>
      </c>
      <c r="E135" s="5"/>
      <c r="F135" s="6">
        <f t="shared" si="7"/>
        <v>1572000</v>
      </c>
      <c r="G135" s="5"/>
      <c r="H135" s="5">
        <v>1574000</v>
      </c>
      <c r="I135" s="6">
        <f t="shared" si="8"/>
        <v>1574000</v>
      </c>
    </row>
    <row r="136" spans="1:9" ht="15">
      <c r="A136" s="15">
        <v>51</v>
      </c>
      <c r="B136" s="21">
        <v>4</v>
      </c>
      <c r="C136" s="20" t="s">
        <v>55</v>
      </c>
      <c r="D136" s="5">
        <v>132000</v>
      </c>
      <c r="E136" s="5">
        <v>632000</v>
      </c>
      <c r="F136" s="6">
        <f t="shared" si="7"/>
        <v>764000</v>
      </c>
      <c r="G136" s="5"/>
      <c r="H136" s="5"/>
      <c r="I136" s="6">
        <f t="shared" si="8"/>
        <v>0</v>
      </c>
    </row>
    <row r="137" spans="1:9" ht="15">
      <c r="A137" s="15">
        <v>52</v>
      </c>
      <c r="B137" s="15">
        <v>5</v>
      </c>
      <c r="C137" s="20" t="s">
        <v>56</v>
      </c>
      <c r="D137" s="5">
        <v>505700</v>
      </c>
      <c r="E137" s="5">
        <v>157000</v>
      </c>
      <c r="F137" s="6">
        <f t="shared" si="7"/>
        <v>662700</v>
      </c>
      <c r="G137" s="5">
        <v>505700</v>
      </c>
      <c r="H137" s="5">
        <v>157000</v>
      </c>
      <c r="I137" s="6">
        <f t="shared" si="8"/>
        <v>662700</v>
      </c>
    </row>
    <row r="138" spans="1:9" ht="15">
      <c r="A138" s="15">
        <v>53</v>
      </c>
      <c r="B138" s="15">
        <v>6</v>
      </c>
      <c r="C138" s="20" t="s">
        <v>57</v>
      </c>
      <c r="D138" s="5">
        <f>595650*3</f>
        <v>1786950</v>
      </c>
      <c r="E138" s="5">
        <f>130000*3</f>
        <v>390000</v>
      </c>
      <c r="F138" s="6">
        <f t="shared" si="7"/>
        <v>2176950</v>
      </c>
      <c r="G138" s="5">
        <v>1916098</v>
      </c>
      <c r="H138" s="5">
        <v>100000</v>
      </c>
      <c r="I138" s="6">
        <f t="shared" si="8"/>
        <v>2016098</v>
      </c>
    </row>
    <row r="139" spans="1:9" ht="15">
      <c r="A139" s="15">
        <v>54</v>
      </c>
      <c r="B139" s="15">
        <v>7</v>
      </c>
      <c r="C139" s="20" t="s">
        <v>58</v>
      </c>
      <c r="D139" s="5">
        <v>506000</v>
      </c>
      <c r="E139" s="5">
        <v>140000</v>
      </c>
      <c r="F139" s="6">
        <f t="shared" si="7"/>
        <v>646000</v>
      </c>
      <c r="G139" s="5">
        <v>502000</v>
      </c>
      <c r="H139" s="5">
        <v>140000</v>
      </c>
      <c r="I139" s="6">
        <f t="shared" si="8"/>
        <v>642000</v>
      </c>
    </row>
    <row r="140" spans="1:9" ht="15">
      <c r="A140" s="15">
        <v>55</v>
      </c>
      <c r="B140" s="15">
        <v>8</v>
      </c>
      <c r="C140" s="19" t="s">
        <v>59</v>
      </c>
      <c r="D140" s="5">
        <v>750000</v>
      </c>
      <c r="E140" s="5">
        <v>100000</v>
      </c>
      <c r="F140" s="6">
        <f t="shared" si="7"/>
        <v>850000</v>
      </c>
      <c r="G140" s="5">
        <v>758000</v>
      </c>
      <c r="H140" s="5">
        <v>100000</v>
      </c>
      <c r="I140" s="6">
        <f t="shared" si="8"/>
        <v>858000</v>
      </c>
    </row>
    <row r="141" spans="1:9" ht="15">
      <c r="A141" s="15">
        <v>56</v>
      </c>
      <c r="B141" s="15">
        <v>9</v>
      </c>
      <c r="C141" s="19" t="s">
        <v>60</v>
      </c>
      <c r="D141" s="5">
        <v>469500</v>
      </c>
      <c r="E141" s="5">
        <v>210000</v>
      </c>
      <c r="F141" s="6">
        <f t="shared" si="7"/>
        <v>679500</v>
      </c>
      <c r="G141" s="5">
        <v>404500</v>
      </c>
      <c r="H141" s="5">
        <v>230000</v>
      </c>
      <c r="I141" s="6">
        <f t="shared" si="8"/>
        <v>634500</v>
      </c>
    </row>
    <row r="142" spans="1:9" ht="15">
      <c r="A142" s="15">
        <v>57</v>
      </c>
      <c r="B142" s="15">
        <v>10</v>
      </c>
      <c r="C142" s="19" t="s">
        <v>61</v>
      </c>
      <c r="D142" s="5">
        <v>260400</v>
      </c>
      <c r="E142" s="5">
        <v>140000</v>
      </c>
      <c r="F142" s="6">
        <f t="shared" si="7"/>
        <v>400400</v>
      </c>
      <c r="G142" s="5">
        <v>260400</v>
      </c>
      <c r="H142" s="5">
        <v>140000</v>
      </c>
      <c r="I142" s="6">
        <f t="shared" si="8"/>
        <v>400400</v>
      </c>
    </row>
    <row r="143" spans="1:9" ht="15">
      <c r="A143" s="15">
        <v>58</v>
      </c>
      <c r="B143" s="15">
        <v>11</v>
      </c>
      <c r="C143" s="19" t="s">
        <v>62</v>
      </c>
      <c r="D143" s="5">
        <v>915000</v>
      </c>
      <c r="F143" s="6">
        <f>SUM(D143:E143)</f>
        <v>915000</v>
      </c>
      <c r="G143" s="5">
        <v>917000</v>
      </c>
      <c r="I143" s="6">
        <f>SUM(G143:H143)</f>
        <v>917000</v>
      </c>
    </row>
    <row r="144" spans="1:9" ht="15">
      <c r="A144" s="15">
        <v>59</v>
      </c>
      <c r="B144" s="15">
        <v>12</v>
      </c>
      <c r="C144" s="19" t="s">
        <v>63</v>
      </c>
      <c r="D144" s="5"/>
      <c r="E144" s="5"/>
      <c r="F144" s="6">
        <f t="shared" si="7"/>
        <v>0</v>
      </c>
      <c r="G144" s="5"/>
      <c r="H144" s="5"/>
      <c r="I144" s="6">
        <f>SUM(G144:H144)</f>
        <v>0</v>
      </c>
    </row>
    <row r="145" spans="1:9" ht="15">
      <c r="A145" s="15">
        <v>60</v>
      </c>
      <c r="B145" s="15">
        <v>13</v>
      </c>
      <c r="C145" s="19" t="s">
        <v>64</v>
      </c>
      <c r="D145" s="5"/>
      <c r="E145" s="5"/>
      <c r="F145" s="6">
        <f t="shared" si="7"/>
        <v>0</v>
      </c>
      <c r="G145" s="5"/>
      <c r="H145" s="5"/>
      <c r="I145" s="6">
        <f>SUM(G145:H145)</f>
        <v>0</v>
      </c>
    </row>
    <row r="146" spans="1:9" ht="15">
      <c r="A146" s="15">
        <v>61</v>
      </c>
      <c r="B146" s="15">
        <v>14</v>
      </c>
      <c r="C146" s="19" t="s">
        <v>65</v>
      </c>
      <c r="D146" s="5">
        <v>229000</v>
      </c>
      <c r="E146" s="5">
        <v>125000</v>
      </c>
      <c r="F146" s="6">
        <f>SUM(D146:E146)</f>
        <v>354000</v>
      </c>
      <c r="G146" s="5">
        <v>127000</v>
      </c>
      <c r="H146" s="5">
        <v>125000</v>
      </c>
      <c r="I146" s="6">
        <f>SUM(G146:H146)</f>
        <v>252000</v>
      </c>
    </row>
    <row r="147" spans="1:9" ht="15">
      <c r="A147" s="15">
        <v>62</v>
      </c>
      <c r="B147" s="15">
        <v>15</v>
      </c>
      <c r="C147" s="78" t="s">
        <v>66</v>
      </c>
      <c r="D147" s="5">
        <v>1250000</v>
      </c>
      <c r="E147" s="5">
        <v>250000</v>
      </c>
      <c r="F147" s="6">
        <f t="shared" si="7"/>
        <v>1500000</v>
      </c>
      <c r="G147" s="5"/>
      <c r="H147" s="5"/>
      <c r="I147" s="6">
        <f aca="true" t="shared" si="9" ref="I147:I152">SUM(G147:H147)</f>
        <v>0</v>
      </c>
    </row>
    <row r="148" spans="1:9" ht="15">
      <c r="A148" s="15">
        <v>63</v>
      </c>
      <c r="B148" s="15">
        <v>16</v>
      </c>
      <c r="C148" s="19" t="s">
        <v>67</v>
      </c>
      <c r="D148" s="5">
        <v>1012000</v>
      </c>
      <c r="E148" s="5"/>
      <c r="F148" s="6">
        <f t="shared" si="7"/>
        <v>1012000</v>
      </c>
      <c r="G148" s="5">
        <v>980000</v>
      </c>
      <c r="H148" s="5"/>
      <c r="I148" s="6">
        <f t="shared" si="9"/>
        <v>980000</v>
      </c>
    </row>
    <row r="149" spans="1:9" ht="15">
      <c r="A149" s="15">
        <v>64</v>
      </c>
      <c r="B149" s="15">
        <v>17</v>
      </c>
      <c r="C149" s="19" t="s">
        <v>68</v>
      </c>
      <c r="D149" s="5">
        <v>1250000</v>
      </c>
      <c r="E149" s="5"/>
      <c r="F149" s="6">
        <f t="shared" si="7"/>
        <v>1250000</v>
      </c>
      <c r="G149" s="5"/>
      <c r="H149" s="5"/>
      <c r="I149" s="6">
        <f t="shared" si="9"/>
        <v>0</v>
      </c>
    </row>
    <row r="150" spans="1:9" ht="15">
      <c r="A150" s="15">
        <v>65</v>
      </c>
      <c r="B150" s="15">
        <v>18</v>
      </c>
      <c r="C150" s="19" t="s">
        <v>69</v>
      </c>
      <c r="D150" s="5">
        <v>601719</v>
      </c>
      <c r="E150" s="5">
        <v>180000</v>
      </c>
      <c r="F150" s="6">
        <f t="shared" si="7"/>
        <v>781719</v>
      </c>
      <c r="G150" s="5">
        <v>601719</v>
      </c>
      <c r="H150" s="5">
        <v>180000</v>
      </c>
      <c r="I150" s="6">
        <f t="shared" si="9"/>
        <v>781719</v>
      </c>
    </row>
    <row r="151" spans="1:9" ht="15">
      <c r="A151" s="15">
        <v>66</v>
      </c>
      <c r="B151" s="15">
        <v>19</v>
      </c>
      <c r="C151" s="19" t="s">
        <v>70</v>
      </c>
      <c r="D151" s="5"/>
      <c r="E151" s="5"/>
      <c r="F151" s="6">
        <f t="shared" si="7"/>
        <v>0</v>
      </c>
      <c r="G151" s="5"/>
      <c r="H151" s="5">
        <v>510000</v>
      </c>
      <c r="I151" s="6">
        <f t="shared" si="9"/>
        <v>510000</v>
      </c>
    </row>
    <row r="152" spans="1:9" ht="15">
      <c r="A152" s="15">
        <v>67</v>
      </c>
      <c r="B152" s="15">
        <v>20</v>
      </c>
      <c r="C152" s="19" t="s">
        <v>71</v>
      </c>
      <c r="D152" s="5">
        <v>648318</v>
      </c>
      <c r="E152" s="5">
        <v>275000</v>
      </c>
      <c r="F152" s="6">
        <f t="shared" si="7"/>
        <v>923318</v>
      </c>
      <c r="G152" s="5">
        <v>527648</v>
      </c>
      <c r="H152" s="5">
        <v>296510</v>
      </c>
      <c r="I152" s="6">
        <f t="shared" si="9"/>
        <v>824158</v>
      </c>
    </row>
    <row r="153" spans="1:13" ht="15">
      <c r="A153" s="224" t="s">
        <v>5</v>
      </c>
      <c r="B153" s="225"/>
      <c r="C153" s="225"/>
      <c r="D153" s="7">
        <f>SUM(D133:D152)</f>
        <v>13789587</v>
      </c>
      <c r="E153" s="7">
        <f>SUM(E133:E152)</f>
        <v>3803500</v>
      </c>
      <c r="F153" s="7">
        <f>SUM(D153:E153)</f>
        <v>17593087</v>
      </c>
      <c r="G153" s="7">
        <f>SUM(G133:G152)</f>
        <v>9401065</v>
      </c>
      <c r="H153" s="7">
        <f>SUM(H133:H152)</f>
        <v>4757010</v>
      </c>
      <c r="I153" s="7">
        <f>SUM(G153:H153)</f>
        <v>14158075</v>
      </c>
      <c r="M153" t="s">
        <v>348</v>
      </c>
    </row>
    <row r="154" spans="1:9" ht="15">
      <c r="A154" s="234" t="s">
        <v>72</v>
      </c>
      <c r="B154" s="235"/>
      <c r="C154" s="235"/>
      <c r="D154" s="235"/>
      <c r="E154" s="235"/>
      <c r="F154" s="235"/>
      <c r="G154" s="235"/>
      <c r="H154" s="235"/>
      <c r="I154" s="236"/>
    </row>
    <row r="155" spans="1:9" ht="15">
      <c r="A155" s="15">
        <v>68</v>
      </c>
      <c r="B155" s="15">
        <v>1</v>
      </c>
      <c r="C155" s="20" t="s">
        <v>73</v>
      </c>
      <c r="D155" s="5">
        <v>1424040</v>
      </c>
      <c r="E155" s="5">
        <v>862800</v>
      </c>
      <c r="F155" s="6">
        <f>SUM(D155:E155)</f>
        <v>2286840</v>
      </c>
      <c r="G155" s="5">
        <v>1424040</v>
      </c>
      <c r="H155" s="5">
        <v>852800</v>
      </c>
      <c r="I155" s="6">
        <f>SUM(G155:H155)</f>
        <v>2276840</v>
      </c>
    </row>
    <row r="156" spans="1:9" ht="15">
      <c r="A156" s="15">
        <v>69</v>
      </c>
      <c r="B156" s="15">
        <v>2</v>
      </c>
      <c r="C156" s="20" t="s">
        <v>74</v>
      </c>
      <c r="D156" s="5">
        <v>348500</v>
      </c>
      <c r="E156" s="5">
        <v>259000</v>
      </c>
      <c r="F156" s="6">
        <f>SUM(D156:E156)</f>
        <v>607500</v>
      </c>
      <c r="G156" s="5">
        <v>348000</v>
      </c>
      <c r="H156" s="5">
        <v>258000</v>
      </c>
      <c r="I156" s="6">
        <f>SUM(G156:H156)</f>
        <v>606000</v>
      </c>
    </row>
    <row r="157" spans="1:9" ht="15">
      <c r="A157" s="15">
        <v>70</v>
      </c>
      <c r="B157" s="15">
        <v>3</v>
      </c>
      <c r="C157" s="20" t="s">
        <v>75</v>
      </c>
      <c r="D157" s="5">
        <v>1353200</v>
      </c>
      <c r="E157" s="5">
        <v>1247500</v>
      </c>
      <c r="F157" s="6">
        <f aca="true" t="shared" si="10" ref="F157:F174">SUM(D157:E157)</f>
        <v>2600700</v>
      </c>
      <c r="G157" s="5">
        <v>1269700</v>
      </c>
      <c r="H157" s="5">
        <v>1247500</v>
      </c>
      <c r="I157" s="6">
        <f aca="true" t="shared" si="11" ref="I157:I174">SUM(G157:H157)</f>
        <v>2517200</v>
      </c>
    </row>
    <row r="158" spans="1:9" ht="15">
      <c r="A158" s="15">
        <v>71</v>
      </c>
      <c r="B158" s="15">
        <v>4</v>
      </c>
      <c r="C158" s="20" t="s">
        <v>76</v>
      </c>
      <c r="D158" s="5"/>
      <c r="E158" s="5">
        <v>300000</v>
      </c>
      <c r="F158" s="6">
        <f t="shared" si="10"/>
        <v>300000</v>
      </c>
      <c r="G158" s="5"/>
      <c r="H158" s="5">
        <v>300000</v>
      </c>
      <c r="I158" s="6">
        <f t="shared" si="11"/>
        <v>300000</v>
      </c>
    </row>
    <row r="159" spans="1:9" ht="15">
      <c r="A159" s="15">
        <v>72</v>
      </c>
      <c r="B159" s="15">
        <v>5</v>
      </c>
      <c r="C159" s="22" t="s">
        <v>77</v>
      </c>
      <c r="D159" s="5"/>
      <c r="E159" s="5"/>
      <c r="F159" s="6">
        <f t="shared" si="10"/>
        <v>0</v>
      </c>
      <c r="G159" s="5"/>
      <c r="H159" s="5"/>
      <c r="I159" s="6">
        <f t="shared" si="11"/>
        <v>0</v>
      </c>
    </row>
    <row r="160" spans="1:9" ht="15">
      <c r="A160" s="15">
        <v>73</v>
      </c>
      <c r="B160" s="15">
        <v>6</v>
      </c>
      <c r="C160" s="20" t="s">
        <v>78</v>
      </c>
      <c r="D160" s="5">
        <v>794000</v>
      </c>
      <c r="E160" s="5">
        <v>1419500</v>
      </c>
      <c r="F160" s="6">
        <f t="shared" si="10"/>
        <v>2213500</v>
      </c>
      <c r="G160" s="5">
        <v>794000</v>
      </c>
      <c r="H160" s="5">
        <v>1419500</v>
      </c>
      <c r="I160" s="6">
        <f t="shared" si="11"/>
        <v>2213500</v>
      </c>
    </row>
    <row r="161" spans="1:9" ht="15">
      <c r="A161" s="15">
        <v>74</v>
      </c>
      <c r="B161" s="15">
        <v>7</v>
      </c>
      <c r="C161" s="20" t="s">
        <v>79</v>
      </c>
      <c r="D161" s="5">
        <v>337000</v>
      </c>
      <c r="E161" s="5">
        <v>450000</v>
      </c>
      <c r="F161" s="6">
        <f t="shared" si="10"/>
        <v>787000</v>
      </c>
      <c r="G161" s="5">
        <v>337000</v>
      </c>
      <c r="H161" s="5">
        <v>450000</v>
      </c>
      <c r="I161" s="6">
        <f t="shared" si="11"/>
        <v>787000</v>
      </c>
    </row>
    <row r="162" spans="1:9" ht="15">
      <c r="A162" s="15">
        <v>75</v>
      </c>
      <c r="B162" s="15">
        <v>8</v>
      </c>
      <c r="C162" s="20" t="s">
        <v>80</v>
      </c>
      <c r="D162" s="5">
        <v>529700</v>
      </c>
      <c r="E162" s="5">
        <v>939000</v>
      </c>
      <c r="F162" s="6">
        <f t="shared" si="10"/>
        <v>1468700</v>
      </c>
      <c r="G162" s="5">
        <v>571000</v>
      </c>
      <c r="H162" s="5">
        <v>939000</v>
      </c>
      <c r="I162" s="6">
        <f t="shared" si="11"/>
        <v>1510000</v>
      </c>
    </row>
    <row r="163" spans="1:9" ht="15">
      <c r="A163" s="15">
        <v>76</v>
      </c>
      <c r="B163" s="15">
        <v>9</v>
      </c>
      <c r="C163" s="20" t="s">
        <v>81</v>
      </c>
      <c r="D163" s="5">
        <v>317500</v>
      </c>
      <c r="E163" s="5">
        <v>475000</v>
      </c>
      <c r="F163" s="6">
        <f t="shared" si="10"/>
        <v>792500</v>
      </c>
      <c r="G163" s="5">
        <v>346000</v>
      </c>
      <c r="H163" s="5">
        <v>510000</v>
      </c>
      <c r="I163" s="6">
        <f t="shared" si="11"/>
        <v>856000</v>
      </c>
    </row>
    <row r="164" spans="1:9" ht="15">
      <c r="A164" s="15">
        <v>77</v>
      </c>
      <c r="B164" s="15">
        <v>10</v>
      </c>
      <c r="C164" s="20" t="s">
        <v>82</v>
      </c>
      <c r="D164" s="5">
        <v>357100</v>
      </c>
      <c r="E164" s="5">
        <v>72000</v>
      </c>
      <c r="F164" s="6">
        <f t="shared" si="10"/>
        <v>429100</v>
      </c>
      <c r="G164" s="5">
        <v>357100</v>
      </c>
      <c r="H164" s="5">
        <v>72000</v>
      </c>
      <c r="I164" s="6">
        <f t="shared" si="11"/>
        <v>429100</v>
      </c>
    </row>
    <row r="165" spans="1:9" ht="15">
      <c r="A165" s="15">
        <v>78</v>
      </c>
      <c r="B165" s="15">
        <v>11</v>
      </c>
      <c r="C165" s="20" t="s">
        <v>83</v>
      </c>
      <c r="D165" s="5"/>
      <c r="E165" s="5"/>
      <c r="F165" s="6">
        <f t="shared" si="10"/>
        <v>0</v>
      </c>
      <c r="G165" s="5">
        <v>600000</v>
      </c>
      <c r="H165" s="5">
        <v>200000</v>
      </c>
      <c r="I165" s="6">
        <f t="shared" si="11"/>
        <v>800000</v>
      </c>
    </row>
    <row r="166" spans="1:9" ht="15">
      <c r="A166" s="15">
        <v>79</v>
      </c>
      <c r="B166" s="15">
        <v>12</v>
      </c>
      <c r="C166" s="20" t="s">
        <v>84</v>
      </c>
      <c r="D166" s="5">
        <v>201700</v>
      </c>
      <c r="E166" s="5">
        <v>809000</v>
      </c>
      <c r="F166" s="6">
        <f t="shared" si="10"/>
        <v>1010700</v>
      </c>
      <c r="G166" s="5">
        <v>201700</v>
      </c>
      <c r="H166" s="5">
        <v>809000</v>
      </c>
      <c r="I166" s="6">
        <f t="shared" si="11"/>
        <v>1010700</v>
      </c>
    </row>
    <row r="167" spans="1:9" ht="15">
      <c r="A167" s="15">
        <v>80</v>
      </c>
      <c r="B167" s="15">
        <v>13</v>
      </c>
      <c r="C167" s="20" t="s">
        <v>85</v>
      </c>
      <c r="D167" s="18"/>
      <c r="E167" s="18">
        <v>500000</v>
      </c>
      <c r="F167" s="6">
        <f t="shared" si="10"/>
        <v>500000</v>
      </c>
      <c r="G167" s="18"/>
      <c r="H167" s="18">
        <v>500000</v>
      </c>
      <c r="I167" s="6">
        <f t="shared" si="11"/>
        <v>500000</v>
      </c>
    </row>
    <row r="168" spans="1:9" ht="15">
      <c r="A168" s="15">
        <v>81</v>
      </c>
      <c r="B168" s="15">
        <v>14</v>
      </c>
      <c r="C168" s="22" t="s">
        <v>86</v>
      </c>
      <c r="D168" s="5"/>
      <c r="E168" s="5"/>
      <c r="F168" s="6">
        <f t="shared" si="10"/>
        <v>0</v>
      </c>
      <c r="G168" s="5"/>
      <c r="H168" s="5"/>
      <c r="I168" s="6">
        <f t="shared" si="11"/>
        <v>0</v>
      </c>
    </row>
    <row r="169" spans="1:9" ht="15">
      <c r="A169" s="15">
        <v>82</v>
      </c>
      <c r="B169" s="15">
        <v>15</v>
      </c>
      <c r="C169" s="20" t="s">
        <v>87</v>
      </c>
      <c r="D169" s="5"/>
      <c r="E169" s="5">
        <v>1021000</v>
      </c>
      <c r="F169" s="6">
        <f t="shared" si="10"/>
        <v>1021000</v>
      </c>
      <c r="G169" s="5"/>
      <c r="H169" s="5">
        <v>1021000</v>
      </c>
      <c r="I169" s="6">
        <f t="shared" si="11"/>
        <v>1021000</v>
      </c>
    </row>
    <row r="170" spans="1:9" ht="15">
      <c r="A170" s="15">
        <v>83</v>
      </c>
      <c r="B170" s="15">
        <v>16</v>
      </c>
      <c r="C170" s="20" t="s">
        <v>88</v>
      </c>
      <c r="D170" s="5"/>
      <c r="E170" s="5"/>
      <c r="F170" s="6">
        <f t="shared" si="10"/>
        <v>0</v>
      </c>
      <c r="G170" s="5"/>
      <c r="H170" s="5">
        <v>2259000</v>
      </c>
      <c r="I170" s="6">
        <f t="shared" si="11"/>
        <v>2259000</v>
      </c>
    </row>
    <row r="171" spans="1:9" ht="15">
      <c r="A171" s="15">
        <v>84</v>
      </c>
      <c r="B171" s="15">
        <v>17</v>
      </c>
      <c r="C171" s="20" t="s">
        <v>89</v>
      </c>
      <c r="D171" s="5"/>
      <c r="E171" s="5">
        <v>763000</v>
      </c>
      <c r="F171" s="6">
        <f t="shared" si="10"/>
        <v>763000</v>
      </c>
      <c r="G171" s="5"/>
      <c r="H171" s="5"/>
      <c r="I171" s="6">
        <f t="shared" si="11"/>
        <v>0</v>
      </c>
    </row>
    <row r="172" spans="1:9" ht="15">
      <c r="A172" s="15">
        <v>85</v>
      </c>
      <c r="B172" s="15">
        <v>18</v>
      </c>
      <c r="C172" s="19" t="s">
        <v>90</v>
      </c>
      <c r="D172" s="5"/>
      <c r="E172" s="5"/>
      <c r="F172" s="6">
        <f t="shared" si="10"/>
        <v>0</v>
      </c>
      <c r="G172" s="5"/>
      <c r="H172" s="5"/>
      <c r="I172" s="6">
        <f t="shared" si="11"/>
        <v>0</v>
      </c>
    </row>
    <row r="173" spans="1:9" ht="15">
      <c r="A173" s="15">
        <v>86</v>
      </c>
      <c r="B173" s="15">
        <v>19</v>
      </c>
      <c r="C173" s="19" t="s">
        <v>91</v>
      </c>
      <c r="D173" s="5">
        <v>850800</v>
      </c>
      <c r="E173" s="5">
        <v>125000</v>
      </c>
      <c r="F173" s="6">
        <f t="shared" si="10"/>
        <v>975800</v>
      </c>
      <c r="G173" s="5">
        <v>850800</v>
      </c>
      <c r="H173" s="5">
        <v>125000</v>
      </c>
      <c r="I173" s="6">
        <f t="shared" si="11"/>
        <v>975800</v>
      </c>
    </row>
    <row r="174" spans="1:9" ht="15">
      <c r="A174" s="15">
        <v>87</v>
      </c>
      <c r="B174" s="15">
        <v>20</v>
      </c>
      <c r="C174" s="19" t="s">
        <v>92</v>
      </c>
      <c r="D174" s="5">
        <v>309000</v>
      </c>
      <c r="E174" s="5">
        <v>703000</v>
      </c>
      <c r="F174" s="6">
        <f t="shared" si="10"/>
        <v>1012000</v>
      </c>
      <c r="G174" s="5">
        <v>309000</v>
      </c>
      <c r="H174" s="5">
        <v>703000</v>
      </c>
      <c r="I174" s="6">
        <f t="shared" si="11"/>
        <v>1012000</v>
      </c>
    </row>
    <row r="175" spans="1:9" ht="15">
      <c r="A175" s="224" t="s">
        <v>5</v>
      </c>
      <c r="B175" s="225"/>
      <c r="C175" s="225"/>
      <c r="D175" s="7">
        <f>SUM(D155:D174)</f>
        <v>6822540</v>
      </c>
      <c r="E175" s="7">
        <f>SUM(E155:E174)</f>
        <v>9945800</v>
      </c>
      <c r="F175" s="7">
        <f>SUM(D175:E175)</f>
        <v>16768340</v>
      </c>
      <c r="G175" s="7">
        <f>SUM(G155:G174)</f>
        <v>7408340</v>
      </c>
      <c r="H175" s="7">
        <f>SUM(H155:H174)</f>
        <v>11665800</v>
      </c>
      <c r="I175" s="7">
        <f>SUM(G175:H175)</f>
        <v>19074140</v>
      </c>
    </row>
    <row r="176" spans="1:9" ht="15">
      <c r="A176" s="224" t="s">
        <v>93</v>
      </c>
      <c r="B176" s="225"/>
      <c r="C176" s="225"/>
      <c r="D176" s="225"/>
      <c r="E176" s="225"/>
      <c r="F176" s="225"/>
      <c r="G176" s="225"/>
      <c r="H176" s="225"/>
      <c r="I176" s="226"/>
    </row>
    <row r="177" spans="1:9" ht="15">
      <c r="A177" s="15">
        <v>88</v>
      </c>
      <c r="B177" s="15">
        <v>1</v>
      </c>
      <c r="C177" s="19" t="s">
        <v>94</v>
      </c>
      <c r="D177" s="5">
        <v>1426555</v>
      </c>
      <c r="E177" s="5">
        <v>101000</v>
      </c>
      <c r="F177" s="6">
        <f>SUM(D177:E177)</f>
        <v>1527555</v>
      </c>
      <c r="G177" s="5">
        <v>1426555</v>
      </c>
      <c r="H177" s="5">
        <v>101000</v>
      </c>
      <c r="I177" s="6">
        <f>SUM(G177:H177)</f>
        <v>1527555</v>
      </c>
    </row>
    <row r="178" spans="1:9" ht="15">
      <c r="A178" s="15">
        <v>89</v>
      </c>
      <c r="B178" s="15">
        <v>2</v>
      </c>
      <c r="C178" s="19" t="s">
        <v>95</v>
      </c>
      <c r="D178" s="5"/>
      <c r="E178" s="5">
        <v>25000</v>
      </c>
      <c r="F178" s="6">
        <f aca="true" t="shared" si="12" ref="F178:F199">SUM(D178:E178)</f>
        <v>25000</v>
      </c>
      <c r="G178" s="5"/>
      <c r="H178" s="5">
        <v>25000</v>
      </c>
      <c r="I178" s="6">
        <f aca="true" t="shared" si="13" ref="I178:I196">SUM(G178:H178)</f>
        <v>25000</v>
      </c>
    </row>
    <row r="179" spans="1:9" ht="15">
      <c r="A179" s="15">
        <v>90</v>
      </c>
      <c r="B179" s="15">
        <v>3</v>
      </c>
      <c r="C179" s="19" t="s">
        <v>96</v>
      </c>
      <c r="D179" s="5"/>
      <c r="E179" s="5">
        <f>80000+35000+260000</f>
        <v>375000</v>
      </c>
      <c r="F179" s="6">
        <f t="shared" si="12"/>
        <v>375000</v>
      </c>
      <c r="G179" s="5"/>
      <c r="H179" s="5">
        <f>75000+245000+30000</f>
        <v>350000</v>
      </c>
      <c r="I179" s="6">
        <f t="shared" si="13"/>
        <v>350000</v>
      </c>
    </row>
    <row r="180" spans="1:9" ht="15">
      <c r="A180" s="15">
        <v>91</v>
      </c>
      <c r="B180" s="15">
        <v>4</v>
      </c>
      <c r="C180" s="19" t="s">
        <v>97</v>
      </c>
      <c r="D180" s="5">
        <v>650000</v>
      </c>
      <c r="E180" s="5">
        <v>450000</v>
      </c>
      <c r="F180" s="6">
        <f t="shared" si="12"/>
        <v>1100000</v>
      </c>
      <c r="G180" s="5"/>
      <c r="H180" s="5"/>
      <c r="I180" s="6">
        <f t="shared" si="13"/>
        <v>0</v>
      </c>
    </row>
    <row r="181" spans="1:9" ht="15">
      <c r="A181" s="15">
        <v>92</v>
      </c>
      <c r="B181" s="15">
        <v>5</v>
      </c>
      <c r="C181" s="19" t="s">
        <v>98</v>
      </c>
      <c r="D181" s="5"/>
      <c r="E181" s="5"/>
      <c r="F181" s="6">
        <f t="shared" si="12"/>
        <v>0</v>
      </c>
      <c r="G181" s="5"/>
      <c r="H181" s="5"/>
      <c r="I181" s="6">
        <f t="shared" si="13"/>
        <v>0</v>
      </c>
    </row>
    <row r="182" spans="1:9" ht="15">
      <c r="A182" s="15">
        <v>93</v>
      </c>
      <c r="B182" s="15">
        <v>6</v>
      </c>
      <c r="C182" s="20" t="s">
        <v>99</v>
      </c>
      <c r="D182" s="5">
        <f>20000000*2</f>
        <v>40000000</v>
      </c>
      <c r="E182" s="5"/>
      <c r="F182" s="6">
        <f t="shared" si="12"/>
        <v>40000000</v>
      </c>
      <c r="G182" s="5"/>
      <c r="H182" s="5"/>
      <c r="I182" s="6">
        <f t="shared" si="13"/>
        <v>0</v>
      </c>
    </row>
    <row r="183" spans="1:9" ht="15">
      <c r="A183" s="15">
        <v>94</v>
      </c>
      <c r="B183" s="15">
        <v>7</v>
      </c>
      <c r="C183" s="19" t="s">
        <v>100</v>
      </c>
      <c r="D183" s="5"/>
      <c r="E183" s="5"/>
      <c r="F183" s="6">
        <f t="shared" si="12"/>
        <v>0</v>
      </c>
      <c r="G183" s="5"/>
      <c r="H183" s="5"/>
      <c r="I183" s="6">
        <f t="shared" si="13"/>
        <v>0</v>
      </c>
    </row>
    <row r="184" spans="1:9" ht="15">
      <c r="A184" s="15">
        <v>95</v>
      </c>
      <c r="B184" s="15">
        <v>8</v>
      </c>
      <c r="C184" s="19" t="s">
        <v>101</v>
      </c>
      <c r="D184" s="5"/>
      <c r="E184" s="5"/>
      <c r="F184" s="6">
        <f t="shared" si="12"/>
        <v>0</v>
      </c>
      <c r="G184" s="5"/>
      <c r="H184" s="5"/>
      <c r="I184" s="6">
        <f t="shared" si="13"/>
        <v>0</v>
      </c>
    </row>
    <row r="185" spans="1:9" ht="15">
      <c r="A185" s="15">
        <v>96</v>
      </c>
      <c r="B185" s="15">
        <v>9</v>
      </c>
      <c r="C185" s="19" t="s">
        <v>102</v>
      </c>
      <c r="D185" s="5"/>
      <c r="E185" s="5"/>
      <c r="F185" s="6">
        <f t="shared" si="12"/>
        <v>0</v>
      </c>
      <c r="G185" s="5"/>
      <c r="H185" s="5"/>
      <c r="I185" s="6">
        <f t="shared" si="13"/>
        <v>0</v>
      </c>
    </row>
    <row r="186" spans="1:9" ht="15">
      <c r="A186" s="15">
        <v>97</v>
      </c>
      <c r="B186" s="15">
        <v>10</v>
      </c>
      <c r="C186" s="19" t="s">
        <v>103</v>
      </c>
      <c r="D186" s="5"/>
      <c r="E186" s="5"/>
      <c r="F186" s="6">
        <f t="shared" si="12"/>
        <v>0</v>
      </c>
      <c r="G186" s="5"/>
      <c r="H186" s="5"/>
      <c r="I186" s="6">
        <f t="shared" si="13"/>
        <v>0</v>
      </c>
    </row>
    <row r="187" spans="1:9" ht="15">
      <c r="A187" s="15">
        <v>98</v>
      </c>
      <c r="B187" s="15">
        <v>11</v>
      </c>
      <c r="C187" s="19" t="s">
        <v>104</v>
      </c>
      <c r="D187" s="5"/>
      <c r="E187" s="5"/>
      <c r="F187" s="6">
        <f t="shared" si="12"/>
        <v>0</v>
      </c>
      <c r="G187" s="5"/>
      <c r="H187" s="5"/>
      <c r="I187" s="6">
        <f t="shared" si="13"/>
        <v>0</v>
      </c>
    </row>
    <row r="188" spans="1:9" ht="15">
      <c r="A188" s="15">
        <v>99</v>
      </c>
      <c r="B188" s="15">
        <v>12</v>
      </c>
      <c r="C188" s="19" t="s">
        <v>105</v>
      </c>
      <c r="D188" s="5"/>
      <c r="E188" s="5"/>
      <c r="F188" s="6">
        <f t="shared" si="12"/>
        <v>0</v>
      </c>
      <c r="G188" s="5"/>
      <c r="H188" s="5"/>
      <c r="I188" s="6">
        <f t="shared" si="13"/>
        <v>0</v>
      </c>
    </row>
    <row r="189" spans="1:9" ht="15">
      <c r="A189" s="15">
        <v>100</v>
      </c>
      <c r="B189" s="15">
        <v>13</v>
      </c>
      <c r="C189" s="19" t="s">
        <v>106</v>
      </c>
      <c r="D189" s="5"/>
      <c r="E189" s="5">
        <f>84000+84000</f>
        <v>168000</v>
      </c>
      <c r="F189" s="6">
        <f t="shared" si="12"/>
        <v>168000</v>
      </c>
      <c r="G189" s="5"/>
      <c r="H189" s="5"/>
      <c r="I189" s="6">
        <f t="shared" si="13"/>
        <v>0</v>
      </c>
    </row>
    <row r="190" spans="1:9" ht="15">
      <c r="A190" s="15">
        <v>101</v>
      </c>
      <c r="B190" s="15">
        <v>14</v>
      </c>
      <c r="C190" s="19" t="s">
        <v>251</v>
      </c>
      <c r="D190" s="5"/>
      <c r="E190" s="5">
        <v>67000</v>
      </c>
      <c r="F190" s="6">
        <f t="shared" si="12"/>
        <v>67000</v>
      </c>
      <c r="G190" s="5"/>
      <c r="H190" s="5">
        <v>67000</v>
      </c>
      <c r="I190" s="6">
        <f t="shared" si="13"/>
        <v>67000</v>
      </c>
    </row>
    <row r="191" spans="1:9" ht="15">
      <c r="A191" s="15">
        <v>102</v>
      </c>
      <c r="B191" s="15">
        <v>15</v>
      </c>
      <c r="C191" s="19" t="s">
        <v>108</v>
      </c>
      <c r="D191" s="5">
        <v>468000</v>
      </c>
      <c r="E191" s="5">
        <v>435000</v>
      </c>
      <c r="F191" s="6">
        <f t="shared" si="12"/>
        <v>903000</v>
      </c>
      <c r="G191" s="5">
        <v>477000</v>
      </c>
      <c r="H191" s="5">
        <v>455000</v>
      </c>
      <c r="I191" s="6">
        <f t="shared" si="13"/>
        <v>932000</v>
      </c>
    </row>
    <row r="192" spans="1:9" ht="15">
      <c r="A192" s="15">
        <v>103</v>
      </c>
      <c r="B192" s="15">
        <v>16</v>
      </c>
      <c r="C192" s="19" t="s">
        <v>109</v>
      </c>
      <c r="D192" s="5">
        <v>894000</v>
      </c>
      <c r="E192" s="5">
        <f>402000+325000</f>
        <v>727000</v>
      </c>
      <c r="F192" s="6">
        <f t="shared" si="12"/>
        <v>1621000</v>
      </c>
      <c r="G192" s="5">
        <v>894000</v>
      </c>
      <c r="H192" s="5">
        <f>325000+401000</f>
        <v>726000</v>
      </c>
      <c r="I192" s="6">
        <f t="shared" si="13"/>
        <v>1620000</v>
      </c>
    </row>
    <row r="193" spans="1:9" ht="15">
      <c r="A193" s="15">
        <v>104</v>
      </c>
      <c r="B193" s="15">
        <v>17</v>
      </c>
      <c r="C193" s="19" t="s">
        <v>110</v>
      </c>
      <c r="D193" s="5"/>
      <c r="E193" s="5"/>
      <c r="F193" s="6">
        <f t="shared" si="12"/>
        <v>0</v>
      </c>
      <c r="G193" s="5"/>
      <c r="H193" s="5"/>
      <c r="I193" s="6">
        <f t="shared" si="13"/>
        <v>0</v>
      </c>
    </row>
    <row r="194" spans="1:9" ht="15">
      <c r="A194" s="15">
        <v>105</v>
      </c>
      <c r="B194" s="15">
        <v>18</v>
      </c>
      <c r="C194" s="19" t="s">
        <v>111</v>
      </c>
      <c r="D194" s="5"/>
      <c r="E194" s="5"/>
      <c r="F194" s="6">
        <f t="shared" si="12"/>
        <v>0</v>
      </c>
      <c r="G194" s="5"/>
      <c r="H194" s="5"/>
      <c r="I194" s="6">
        <f t="shared" si="13"/>
        <v>0</v>
      </c>
    </row>
    <row r="195" spans="1:9" ht="15">
      <c r="A195" s="15">
        <v>106</v>
      </c>
      <c r="B195" s="15">
        <v>19</v>
      </c>
      <c r="C195" s="19" t="s">
        <v>112</v>
      </c>
      <c r="D195" s="5"/>
      <c r="E195" s="5"/>
      <c r="F195" s="6">
        <f t="shared" si="12"/>
        <v>0</v>
      </c>
      <c r="G195" s="5"/>
      <c r="H195" s="5"/>
      <c r="I195" s="6">
        <f t="shared" si="13"/>
        <v>0</v>
      </c>
    </row>
    <row r="196" spans="1:9" ht="15">
      <c r="A196" s="15">
        <v>107</v>
      </c>
      <c r="B196" s="15">
        <v>20</v>
      </c>
      <c r="C196" s="19" t="s">
        <v>113</v>
      </c>
      <c r="D196" s="5"/>
      <c r="E196" s="5"/>
      <c r="F196" s="6">
        <f t="shared" si="12"/>
        <v>0</v>
      </c>
      <c r="G196" s="5"/>
      <c r="H196" s="5"/>
      <c r="I196" s="6">
        <f t="shared" si="13"/>
        <v>0</v>
      </c>
    </row>
    <row r="197" spans="1:9" ht="15">
      <c r="A197" s="15">
        <v>108</v>
      </c>
      <c r="B197" s="15">
        <v>21</v>
      </c>
      <c r="C197" s="19" t="s">
        <v>114</v>
      </c>
      <c r="D197" s="5"/>
      <c r="E197" s="5"/>
      <c r="F197" s="6">
        <f>SUM(D197:E197)</f>
        <v>0</v>
      </c>
      <c r="G197" s="5"/>
      <c r="H197" s="5"/>
      <c r="I197" s="6">
        <f>SUM(G197:H197)</f>
        <v>0</v>
      </c>
    </row>
    <row r="198" spans="1:9" ht="15">
      <c r="A198" s="15">
        <v>109</v>
      </c>
      <c r="B198" s="15">
        <v>22</v>
      </c>
      <c r="C198" s="19" t="s">
        <v>115</v>
      </c>
      <c r="D198" s="5"/>
      <c r="E198" s="5"/>
      <c r="F198" s="6">
        <f t="shared" si="12"/>
        <v>0</v>
      </c>
      <c r="G198" s="5"/>
      <c r="H198" s="5"/>
      <c r="I198" s="6">
        <f>SUM(G198:H198)</f>
        <v>0</v>
      </c>
    </row>
    <row r="199" spans="1:9" ht="15">
      <c r="A199" s="15">
        <v>110</v>
      </c>
      <c r="B199" s="15">
        <v>23</v>
      </c>
      <c r="C199" s="19" t="s">
        <v>116</v>
      </c>
      <c r="D199" s="5"/>
      <c r="E199" s="5"/>
      <c r="F199" s="6">
        <f t="shared" si="12"/>
        <v>0</v>
      </c>
      <c r="G199" s="5"/>
      <c r="H199" s="5"/>
      <c r="I199" s="6">
        <f>SUM(G199:H199)</f>
        <v>0</v>
      </c>
    </row>
    <row r="200" spans="1:9" ht="15">
      <c r="A200" s="224" t="s">
        <v>5</v>
      </c>
      <c r="B200" s="225"/>
      <c r="C200" s="225"/>
      <c r="D200" s="7">
        <f>SUM(D177:D199)</f>
        <v>43438555</v>
      </c>
      <c r="E200" s="7">
        <f>SUM(E177:E199)</f>
        <v>2348000</v>
      </c>
      <c r="F200" s="7">
        <f>SUM(D200:E200)</f>
        <v>45786555</v>
      </c>
      <c r="G200" s="7">
        <f>SUM(G177:G199)</f>
        <v>2797555</v>
      </c>
      <c r="H200" s="7">
        <f>SUM(H177:H199)</f>
        <v>1724000</v>
      </c>
      <c r="I200" s="7">
        <f>SUM(G200:H200)</f>
        <v>4521555</v>
      </c>
    </row>
    <row r="201" spans="1:9" ht="15">
      <c r="A201" s="224" t="s">
        <v>117</v>
      </c>
      <c r="B201" s="225"/>
      <c r="C201" s="225"/>
      <c r="D201" s="225"/>
      <c r="E201" s="225"/>
      <c r="F201" s="225"/>
      <c r="G201" s="225"/>
      <c r="H201" s="225"/>
      <c r="I201" s="226"/>
    </row>
    <row r="202" spans="1:9" ht="15">
      <c r="A202" s="15">
        <v>111</v>
      </c>
      <c r="B202" s="15">
        <v>1</v>
      </c>
      <c r="C202" s="10" t="s">
        <v>118</v>
      </c>
      <c r="D202" s="5"/>
      <c r="E202" s="5"/>
      <c r="F202" s="6">
        <f>SUM(D202:E202)</f>
        <v>0</v>
      </c>
      <c r="G202" s="5"/>
      <c r="H202" s="5">
        <v>40000</v>
      </c>
      <c r="I202" s="6">
        <f>SUM(G202:H202)</f>
        <v>40000</v>
      </c>
    </row>
    <row r="203" spans="1:9" ht="15">
      <c r="A203" s="15">
        <v>112</v>
      </c>
      <c r="B203" s="15">
        <v>2</v>
      </c>
      <c r="C203" s="17" t="s">
        <v>119</v>
      </c>
      <c r="D203" s="5">
        <v>372421</v>
      </c>
      <c r="E203" s="5">
        <v>72200</v>
      </c>
      <c r="F203" s="6">
        <f aca="true" t="shared" si="14" ref="F203:F253">SUM(D203:E203)</f>
        <v>444621</v>
      </c>
      <c r="G203" s="5">
        <v>374475</v>
      </c>
      <c r="H203" s="5">
        <v>72200</v>
      </c>
      <c r="I203" s="6">
        <f aca="true" t="shared" si="15" ref="I203:I211">SUM(G203:H203)</f>
        <v>446675</v>
      </c>
    </row>
    <row r="204" spans="1:9" ht="15">
      <c r="A204" s="15">
        <v>113</v>
      </c>
      <c r="B204" s="15">
        <v>3</v>
      </c>
      <c r="C204" s="17" t="s">
        <v>120</v>
      </c>
      <c r="D204" s="5"/>
      <c r="E204" s="5">
        <v>270000</v>
      </c>
      <c r="F204" s="6">
        <f t="shared" si="14"/>
        <v>270000</v>
      </c>
      <c r="G204" s="5"/>
      <c r="H204" s="5">
        <v>80000</v>
      </c>
      <c r="I204" s="6">
        <f t="shared" si="15"/>
        <v>80000</v>
      </c>
    </row>
    <row r="205" spans="1:9" ht="15">
      <c r="A205" s="15">
        <v>114</v>
      </c>
      <c r="B205" s="15">
        <v>4</v>
      </c>
      <c r="C205" s="10" t="s">
        <v>121</v>
      </c>
      <c r="D205" s="5">
        <v>1206000</v>
      </c>
      <c r="E205" s="5">
        <v>126000</v>
      </c>
      <c r="F205" s="6">
        <f t="shared" si="14"/>
        <v>1332000</v>
      </c>
      <c r="G205" s="5"/>
      <c r="H205" s="5"/>
      <c r="I205" s="6">
        <f t="shared" si="15"/>
        <v>0</v>
      </c>
    </row>
    <row r="206" spans="1:9" ht="15">
      <c r="A206" s="15">
        <v>115</v>
      </c>
      <c r="B206" s="15">
        <v>5</v>
      </c>
      <c r="C206" s="23" t="s">
        <v>122</v>
      </c>
      <c r="D206" s="5"/>
      <c r="E206" s="5"/>
      <c r="F206" s="6">
        <f t="shared" si="14"/>
        <v>0</v>
      </c>
      <c r="G206" s="5"/>
      <c r="H206" s="5"/>
      <c r="I206" s="6">
        <f t="shared" si="15"/>
        <v>0</v>
      </c>
    </row>
    <row r="207" spans="1:9" ht="15">
      <c r="A207" s="15">
        <v>116</v>
      </c>
      <c r="B207" s="15">
        <v>6</v>
      </c>
      <c r="C207" s="23" t="s">
        <v>123</v>
      </c>
      <c r="D207" s="5">
        <v>195300</v>
      </c>
      <c r="E207" s="5">
        <v>350000</v>
      </c>
      <c r="F207" s="6">
        <f t="shared" si="14"/>
        <v>545300</v>
      </c>
      <c r="G207" s="5">
        <v>195300</v>
      </c>
      <c r="H207" s="5">
        <v>350000</v>
      </c>
      <c r="I207" s="6">
        <f t="shared" si="15"/>
        <v>545300</v>
      </c>
    </row>
    <row r="208" spans="1:9" ht="15">
      <c r="A208" s="15">
        <v>117</v>
      </c>
      <c r="B208" s="15">
        <v>7</v>
      </c>
      <c r="C208" s="23" t="s">
        <v>124</v>
      </c>
      <c r="D208" s="5"/>
      <c r="E208" s="5"/>
      <c r="F208" s="6">
        <f t="shared" si="14"/>
        <v>0</v>
      </c>
      <c r="G208" s="5"/>
      <c r="H208" s="5"/>
      <c r="I208" s="6">
        <f t="shared" si="15"/>
        <v>0</v>
      </c>
    </row>
    <row r="209" spans="1:9" ht="15">
      <c r="A209" s="15">
        <v>118</v>
      </c>
      <c r="B209" s="15">
        <v>8</v>
      </c>
      <c r="C209" s="23" t="s">
        <v>125</v>
      </c>
      <c r="D209" s="5"/>
      <c r="E209" s="5"/>
      <c r="F209" s="6">
        <f t="shared" si="14"/>
        <v>0</v>
      </c>
      <c r="G209" s="5"/>
      <c r="H209" s="5"/>
      <c r="I209" s="6">
        <f t="shared" si="15"/>
        <v>0</v>
      </c>
    </row>
    <row r="210" spans="1:9" ht="15">
      <c r="A210" s="15">
        <v>119</v>
      </c>
      <c r="B210" s="15">
        <v>9</v>
      </c>
      <c r="C210" s="23" t="s">
        <v>126</v>
      </c>
      <c r="D210" s="5"/>
      <c r="E210" s="5"/>
      <c r="F210" s="6">
        <f t="shared" si="14"/>
        <v>0</v>
      </c>
      <c r="G210" s="5"/>
      <c r="H210" s="5"/>
      <c r="I210" s="6">
        <f t="shared" si="15"/>
        <v>0</v>
      </c>
    </row>
    <row r="211" spans="1:9" ht="15">
      <c r="A211" s="15">
        <v>120</v>
      </c>
      <c r="B211" s="15">
        <v>10</v>
      </c>
      <c r="C211" s="23" t="s">
        <v>127</v>
      </c>
      <c r="D211" s="5"/>
      <c r="E211" s="5"/>
      <c r="F211" s="6">
        <f t="shared" si="14"/>
        <v>0</v>
      </c>
      <c r="G211" s="5"/>
      <c r="H211" s="5">
        <f>309000+312000+312000</f>
        <v>933000</v>
      </c>
      <c r="I211" s="6">
        <f t="shared" si="15"/>
        <v>933000</v>
      </c>
    </row>
    <row r="212" spans="1:9" ht="15">
      <c r="A212" s="15">
        <v>121</v>
      </c>
      <c r="B212" s="15">
        <v>11</v>
      </c>
      <c r="C212" s="23" t="s">
        <v>129</v>
      </c>
      <c r="D212" s="5"/>
      <c r="E212" s="5"/>
      <c r="F212" s="6">
        <f>SUM(D212:E212)</f>
        <v>0</v>
      </c>
      <c r="G212" s="5"/>
      <c r="H212" s="5"/>
      <c r="I212" s="6">
        <f>SUM(G212:H212)</f>
        <v>0</v>
      </c>
    </row>
    <row r="213" spans="1:9" ht="15">
      <c r="A213" s="15">
        <v>122</v>
      </c>
      <c r="B213" s="15">
        <v>12</v>
      </c>
      <c r="C213" s="24" t="s">
        <v>128</v>
      </c>
      <c r="D213" s="86"/>
      <c r="E213" s="5">
        <v>400000</v>
      </c>
      <c r="F213" s="6">
        <f>SUM(D213:E213)</f>
        <v>400000</v>
      </c>
      <c r="G213" s="86"/>
      <c r="H213" s="5">
        <v>400000</v>
      </c>
      <c r="I213" s="6">
        <f>SUM(G213:H213)</f>
        <v>400000</v>
      </c>
    </row>
    <row r="214" spans="1:9" ht="15">
      <c r="A214" s="15">
        <v>123</v>
      </c>
      <c r="B214" s="15">
        <v>13</v>
      </c>
      <c r="C214" s="23" t="s">
        <v>130</v>
      </c>
      <c r="D214" s="5"/>
      <c r="E214" s="5"/>
      <c r="F214" s="6">
        <f t="shared" si="14"/>
        <v>0</v>
      </c>
      <c r="G214" s="5">
        <v>992800</v>
      </c>
      <c r="H214" s="5">
        <v>1066000</v>
      </c>
      <c r="I214" s="6">
        <f aca="true" t="shared" si="16" ref="I214:I253">SUM(G214:H214)</f>
        <v>2058800</v>
      </c>
    </row>
    <row r="215" spans="1:9" ht="15">
      <c r="A215" s="15">
        <v>124</v>
      </c>
      <c r="B215" s="15">
        <v>14</v>
      </c>
      <c r="C215" s="23" t="s">
        <v>131</v>
      </c>
      <c r="D215" s="5"/>
      <c r="E215" s="5"/>
      <c r="F215" s="6">
        <f t="shared" si="14"/>
        <v>0</v>
      </c>
      <c r="G215" s="5">
        <v>600000</v>
      </c>
      <c r="H215" s="5">
        <v>410000</v>
      </c>
      <c r="I215" s="6">
        <f t="shared" si="16"/>
        <v>1010000</v>
      </c>
    </row>
    <row r="216" spans="1:9" ht="15">
      <c r="A216" s="15">
        <v>125</v>
      </c>
      <c r="B216" s="15">
        <v>15</v>
      </c>
      <c r="C216" s="23" t="s">
        <v>132</v>
      </c>
      <c r="D216" s="5"/>
      <c r="E216" s="5">
        <v>50000</v>
      </c>
      <c r="F216" s="6">
        <f t="shared" si="14"/>
        <v>50000</v>
      </c>
      <c r="G216" s="5">
        <v>48000</v>
      </c>
      <c r="H216" s="5"/>
      <c r="I216" s="6">
        <f t="shared" si="16"/>
        <v>48000</v>
      </c>
    </row>
    <row r="217" spans="1:9" ht="15">
      <c r="A217" s="15">
        <v>126</v>
      </c>
      <c r="B217" s="15">
        <v>16</v>
      </c>
      <c r="C217" s="23" t="s">
        <v>133</v>
      </c>
      <c r="D217" s="5"/>
      <c r="E217" s="5"/>
      <c r="F217" s="6">
        <f t="shared" si="14"/>
        <v>0</v>
      </c>
      <c r="G217" s="5"/>
      <c r="H217" s="5"/>
      <c r="I217" s="6">
        <f t="shared" si="16"/>
        <v>0</v>
      </c>
    </row>
    <row r="218" spans="1:9" ht="15">
      <c r="A218" s="15">
        <v>127</v>
      </c>
      <c r="B218" s="15">
        <v>17</v>
      </c>
      <c r="C218" s="23" t="s">
        <v>134</v>
      </c>
      <c r="D218" s="5"/>
      <c r="E218" s="5">
        <v>17000</v>
      </c>
      <c r="F218" s="6">
        <f t="shared" si="14"/>
        <v>17000</v>
      </c>
      <c r="G218" s="5"/>
      <c r="H218" s="5">
        <v>17000</v>
      </c>
      <c r="I218" s="6">
        <f t="shared" si="16"/>
        <v>17000</v>
      </c>
    </row>
    <row r="219" spans="1:9" ht="15">
      <c r="A219" s="15">
        <v>128</v>
      </c>
      <c r="B219" s="15">
        <v>18</v>
      </c>
      <c r="C219" s="23" t="s">
        <v>135</v>
      </c>
      <c r="D219" s="5"/>
      <c r="E219" s="5"/>
      <c r="F219" s="6">
        <f t="shared" si="14"/>
        <v>0</v>
      </c>
      <c r="G219" s="5"/>
      <c r="H219" s="5"/>
      <c r="I219" s="6">
        <f t="shared" si="16"/>
        <v>0</v>
      </c>
    </row>
    <row r="220" spans="1:9" ht="15">
      <c r="A220" s="15">
        <v>129</v>
      </c>
      <c r="B220" s="15">
        <v>19</v>
      </c>
      <c r="C220" s="23" t="s">
        <v>136</v>
      </c>
      <c r="D220" s="5"/>
      <c r="E220" s="5">
        <v>187000</v>
      </c>
      <c r="F220" s="6">
        <f t="shared" si="14"/>
        <v>187000</v>
      </c>
      <c r="G220" s="5"/>
      <c r="H220" s="5">
        <v>187000</v>
      </c>
      <c r="I220" s="6">
        <f t="shared" si="16"/>
        <v>187000</v>
      </c>
    </row>
    <row r="221" spans="1:9" ht="15">
      <c r="A221" s="15">
        <v>130</v>
      </c>
      <c r="B221" s="15">
        <v>20</v>
      </c>
      <c r="C221" s="23" t="s">
        <v>137</v>
      </c>
      <c r="D221" s="5"/>
      <c r="E221" s="5"/>
      <c r="F221" s="6">
        <f t="shared" si="14"/>
        <v>0</v>
      </c>
      <c r="G221" s="5"/>
      <c r="H221" s="5"/>
      <c r="I221" s="6">
        <f t="shared" si="16"/>
        <v>0</v>
      </c>
    </row>
    <row r="222" spans="1:9" ht="15">
      <c r="A222" s="15">
        <v>131</v>
      </c>
      <c r="B222" s="15">
        <v>21</v>
      </c>
      <c r="C222" s="23" t="s">
        <v>138</v>
      </c>
      <c r="D222" s="5">
        <v>91000</v>
      </c>
      <c r="E222" s="5">
        <v>145000</v>
      </c>
      <c r="F222" s="6">
        <f t="shared" si="14"/>
        <v>236000</v>
      </c>
      <c r="G222" s="5">
        <v>95000</v>
      </c>
      <c r="H222" s="5">
        <v>145000</v>
      </c>
      <c r="I222" s="6">
        <f t="shared" si="16"/>
        <v>240000</v>
      </c>
    </row>
    <row r="223" spans="1:9" ht="15">
      <c r="A223" s="15">
        <v>132</v>
      </c>
      <c r="B223" s="15">
        <v>22</v>
      </c>
      <c r="C223" s="23" t="s">
        <v>139</v>
      </c>
      <c r="D223" s="5"/>
      <c r="E223" s="5">
        <v>175000</v>
      </c>
      <c r="F223" s="6">
        <f t="shared" si="14"/>
        <v>175000</v>
      </c>
      <c r="G223" s="5"/>
      <c r="H223" s="5">
        <v>175000</v>
      </c>
      <c r="I223" s="6">
        <f t="shared" si="16"/>
        <v>175000</v>
      </c>
    </row>
    <row r="224" spans="1:9" ht="15">
      <c r="A224" s="15">
        <v>133</v>
      </c>
      <c r="B224" s="15">
        <v>23</v>
      </c>
      <c r="C224" s="23" t="s">
        <v>140</v>
      </c>
      <c r="D224" s="5"/>
      <c r="E224" s="5"/>
      <c r="F224" s="6">
        <f t="shared" si="14"/>
        <v>0</v>
      </c>
      <c r="G224" s="5"/>
      <c r="H224" s="5"/>
      <c r="I224" s="6">
        <f t="shared" si="16"/>
        <v>0</v>
      </c>
    </row>
    <row r="225" spans="1:9" ht="15">
      <c r="A225" s="15">
        <v>134</v>
      </c>
      <c r="B225" s="15">
        <v>24</v>
      </c>
      <c r="C225" s="23" t="s">
        <v>141</v>
      </c>
      <c r="D225" s="5">
        <v>154000</v>
      </c>
      <c r="E225" s="5">
        <v>670000</v>
      </c>
      <c r="F225" s="6">
        <f t="shared" si="14"/>
        <v>824000</v>
      </c>
      <c r="G225" s="5">
        <v>154000</v>
      </c>
      <c r="H225" s="5">
        <v>695000</v>
      </c>
      <c r="I225" s="6">
        <f t="shared" si="16"/>
        <v>849000</v>
      </c>
    </row>
    <row r="226" spans="1:9" ht="15">
      <c r="A226" s="15">
        <v>135</v>
      </c>
      <c r="B226" s="15">
        <v>25</v>
      </c>
      <c r="C226" s="23" t="s">
        <v>142</v>
      </c>
      <c r="D226" s="5">
        <v>354000</v>
      </c>
      <c r="E226" s="5"/>
      <c r="F226" s="6">
        <f t="shared" si="14"/>
        <v>354000</v>
      </c>
      <c r="G226" s="5">
        <v>354000</v>
      </c>
      <c r="H226" s="5"/>
      <c r="I226" s="6">
        <f t="shared" si="16"/>
        <v>354000</v>
      </c>
    </row>
    <row r="227" spans="1:9" ht="15">
      <c r="A227" s="15">
        <v>136</v>
      </c>
      <c r="B227" s="15">
        <v>26</v>
      </c>
      <c r="C227" s="23" t="s">
        <v>143</v>
      </c>
      <c r="D227" s="5"/>
      <c r="E227" s="5"/>
      <c r="F227" s="6">
        <f t="shared" si="14"/>
        <v>0</v>
      </c>
      <c r="G227" s="5"/>
      <c r="H227" s="5"/>
      <c r="I227" s="6">
        <f t="shared" si="16"/>
        <v>0</v>
      </c>
    </row>
    <row r="228" spans="1:9" ht="15">
      <c r="A228" s="15">
        <v>137</v>
      </c>
      <c r="B228" s="15">
        <v>27</v>
      </c>
      <c r="C228" s="23" t="s">
        <v>144</v>
      </c>
      <c r="D228" s="5">
        <v>890000</v>
      </c>
      <c r="E228" s="5"/>
      <c r="F228" s="6">
        <f t="shared" si="14"/>
        <v>890000</v>
      </c>
      <c r="G228" s="5">
        <v>870000</v>
      </c>
      <c r="H228" s="5"/>
      <c r="I228" s="6">
        <f t="shared" si="16"/>
        <v>870000</v>
      </c>
    </row>
    <row r="229" spans="1:9" ht="15">
      <c r="A229" s="15">
        <v>138</v>
      </c>
      <c r="B229" s="15">
        <v>28</v>
      </c>
      <c r="C229" s="23" t="s">
        <v>145</v>
      </c>
      <c r="D229" s="5"/>
      <c r="E229" s="5"/>
      <c r="F229" s="6">
        <f t="shared" si="14"/>
        <v>0</v>
      </c>
      <c r="G229" s="5"/>
      <c r="H229" s="5"/>
      <c r="I229" s="6">
        <f t="shared" si="16"/>
        <v>0</v>
      </c>
    </row>
    <row r="230" spans="1:9" ht="15">
      <c r="A230" s="15">
        <v>139</v>
      </c>
      <c r="B230" s="15">
        <v>29</v>
      </c>
      <c r="C230" s="23" t="s">
        <v>146</v>
      </c>
      <c r="D230" s="5"/>
      <c r="E230" s="5"/>
      <c r="F230" s="6">
        <f t="shared" si="14"/>
        <v>0</v>
      </c>
      <c r="G230" s="5"/>
      <c r="H230" s="5"/>
      <c r="I230" s="6">
        <f t="shared" si="16"/>
        <v>0</v>
      </c>
    </row>
    <row r="231" spans="1:9" ht="15">
      <c r="A231" s="15">
        <v>140</v>
      </c>
      <c r="B231" s="15">
        <v>30</v>
      </c>
      <c r="C231" s="23" t="s">
        <v>147</v>
      </c>
      <c r="D231" s="5"/>
      <c r="E231" s="5"/>
      <c r="F231" s="6">
        <f t="shared" si="14"/>
        <v>0</v>
      </c>
      <c r="G231" s="5"/>
      <c r="H231" s="5"/>
      <c r="I231" s="6">
        <f t="shared" si="16"/>
        <v>0</v>
      </c>
    </row>
    <row r="232" spans="1:9" ht="15">
      <c r="A232" s="15">
        <v>141</v>
      </c>
      <c r="B232" s="15">
        <v>31</v>
      </c>
      <c r="C232" s="23" t="s">
        <v>148</v>
      </c>
      <c r="D232" s="5"/>
      <c r="E232" s="5"/>
      <c r="F232" s="6">
        <f t="shared" si="14"/>
        <v>0</v>
      </c>
      <c r="G232" s="5">
        <f>960000+480000</f>
        <v>1440000</v>
      </c>
      <c r="H232" s="5"/>
      <c r="I232" s="6">
        <f t="shared" si="16"/>
        <v>1440000</v>
      </c>
    </row>
    <row r="233" spans="1:9" ht="15">
      <c r="A233" s="15">
        <v>142</v>
      </c>
      <c r="B233" s="15">
        <v>32</v>
      </c>
      <c r="C233" s="23" t="s">
        <v>149</v>
      </c>
      <c r="D233" s="5"/>
      <c r="E233" s="5"/>
      <c r="F233" s="6">
        <f t="shared" si="14"/>
        <v>0</v>
      </c>
      <c r="G233" s="5"/>
      <c r="H233" s="5"/>
      <c r="I233" s="6">
        <f t="shared" si="16"/>
        <v>0</v>
      </c>
    </row>
    <row r="234" spans="1:9" ht="15">
      <c r="A234" s="15">
        <v>143</v>
      </c>
      <c r="B234" s="15">
        <v>33</v>
      </c>
      <c r="C234" s="23" t="s">
        <v>150</v>
      </c>
      <c r="D234" s="5"/>
      <c r="E234" s="5">
        <v>84000</v>
      </c>
      <c r="F234" s="6">
        <f t="shared" si="14"/>
        <v>84000</v>
      </c>
      <c r="G234" s="5"/>
      <c r="H234" s="5">
        <v>84000</v>
      </c>
      <c r="I234" s="6">
        <f t="shared" si="16"/>
        <v>84000</v>
      </c>
    </row>
    <row r="235" spans="1:9" ht="15">
      <c r="A235" s="15">
        <v>144</v>
      </c>
      <c r="B235" s="15">
        <v>34</v>
      </c>
      <c r="C235" s="23" t="s">
        <v>151</v>
      </c>
      <c r="D235" s="5"/>
      <c r="E235" s="5"/>
      <c r="F235" s="6">
        <f t="shared" si="14"/>
        <v>0</v>
      </c>
      <c r="G235" s="5"/>
      <c r="H235" s="5"/>
      <c r="I235" s="6">
        <f t="shared" si="16"/>
        <v>0</v>
      </c>
    </row>
    <row r="236" spans="1:9" ht="15">
      <c r="A236" s="15">
        <v>145</v>
      </c>
      <c r="B236" s="15">
        <v>35</v>
      </c>
      <c r="C236" s="23" t="s">
        <v>152</v>
      </c>
      <c r="D236" s="5"/>
      <c r="E236" s="5"/>
      <c r="F236" s="6">
        <f t="shared" si="14"/>
        <v>0</v>
      </c>
      <c r="G236" s="5"/>
      <c r="H236" s="5"/>
      <c r="I236" s="6">
        <f t="shared" si="16"/>
        <v>0</v>
      </c>
    </row>
    <row r="237" spans="1:9" ht="15">
      <c r="A237" s="15">
        <v>146</v>
      </c>
      <c r="B237" s="15">
        <v>36</v>
      </c>
      <c r="C237" s="23" t="s">
        <v>153</v>
      </c>
      <c r="D237" s="5"/>
      <c r="E237" s="5"/>
      <c r="F237" s="6">
        <f t="shared" si="14"/>
        <v>0</v>
      </c>
      <c r="G237" s="5"/>
      <c r="H237" s="5"/>
      <c r="I237" s="6">
        <f t="shared" si="16"/>
        <v>0</v>
      </c>
    </row>
    <row r="238" spans="1:9" ht="15">
      <c r="A238" s="15">
        <v>147</v>
      </c>
      <c r="B238" s="15">
        <v>37</v>
      </c>
      <c r="C238" s="23" t="s">
        <v>154</v>
      </c>
      <c r="D238" s="5"/>
      <c r="E238" s="5"/>
      <c r="F238" s="6">
        <f t="shared" si="14"/>
        <v>0</v>
      </c>
      <c r="G238" s="5"/>
      <c r="H238" s="5"/>
      <c r="I238" s="6">
        <f t="shared" si="16"/>
        <v>0</v>
      </c>
    </row>
    <row r="239" spans="1:9" ht="15">
      <c r="A239" s="15">
        <v>148</v>
      </c>
      <c r="B239" s="15">
        <v>38</v>
      </c>
      <c r="C239" s="23" t="s">
        <v>155</v>
      </c>
      <c r="D239" s="5"/>
      <c r="E239" s="5"/>
      <c r="F239" s="6">
        <f t="shared" si="14"/>
        <v>0</v>
      </c>
      <c r="G239" s="5"/>
      <c r="H239" s="5"/>
      <c r="I239" s="6">
        <f t="shared" si="16"/>
        <v>0</v>
      </c>
    </row>
    <row r="240" spans="1:9" ht="15">
      <c r="A240" s="15">
        <v>149</v>
      </c>
      <c r="B240" s="15">
        <v>39</v>
      </c>
      <c r="C240" s="23" t="s">
        <v>156</v>
      </c>
      <c r="D240" s="5"/>
      <c r="E240" s="5">
        <v>330000</v>
      </c>
      <c r="F240" s="6">
        <f t="shared" si="14"/>
        <v>330000</v>
      </c>
      <c r="G240" s="5"/>
      <c r="H240" s="5">
        <v>330000</v>
      </c>
      <c r="I240" s="6">
        <f t="shared" si="16"/>
        <v>330000</v>
      </c>
    </row>
    <row r="241" spans="1:9" ht="15">
      <c r="A241" s="15">
        <v>150</v>
      </c>
      <c r="B241" s="15">
        <v>40</v>
      </c>
      <c r="C241" s="23" t="s">
        <v>157</v>
      </c>
      <c r="D241" s="5"/>
      <c r="E241" s="5"/>
      <c r="F241" s="6">
        <f t="shared" si="14"/>
        <v>0</v>
      </c>
      <c r="G241" s="5"/>
      <c r="H241" s="5"/>
      <c r="I241" s="6">
        <f t="shared" si="16"/>
        <v>0</v>
      </c>
    </row>
    <row r="242" spans="1:9" ht="15">
      <c r="A242" s="15">
        <v>151</v>
      </c>
      <c r="B242" s="15">
        <v>41</v>
      </c>
      <c r="C242" s="23" t="s">
        <v>158</v>
      </c>
      <c r="D242" s="5"/>
      <c r="E242" s="5"/>
      <c r="F242" s="6">
        <f t="shared" si="14"/>
        <v>0</v>
      </c>
      <c r="G242" s="5"/>
      <c r="H242" s="5"/>
      <c r="I242" s="6">
        <f t="shared" si="16"/>
        <v>0</v>
      </c>
    </row>
    <row r="243" spans="1:9" ht="15">
      <c r="A243" s="15">
        <v>152</v>
      </c>
      <c r="B243" s="15">
        <v>42</v>
      </c>
      <c r="C243" s="23" t="s">
        <v>159</v>
      </c>
      <c r="D243" s="5"/>
      <c r="E243" s="5"/>
      <c r="F243" s="6">
        <f t="shared" si="14"/>
        <v>0</v>
      </c>
      <c r="G243" s="5"/>
      <c r="H243" s="5"/>
      <c r="I243" s="6">
        <f t="shared" si="16"/>
        <v>0</v>
      </c>
    </row>
    <row r="244" spans="1:9" ht="15">
      <c r="A244" s="15">
        <v>153</v>
      </c>
      <c r="B244" s="15">
        <v>43</v>
      </c>
      <c r="C244" s="23" t="s">
        <v>160</v>
      </c>
      <c r="D244" s="5"/>
      <c r="E244" s="5">
        <v>220000</v>
      </c>
      <c r="F244" s="6">
        <f t="shared" si="14"/>
        <v>220000</v>
      </c>
      <c r="G244" s="5"/>
      <c r="H244" s="5">
        <v>220000</v>
      </c>
      <c r="I244" s="6">
        <f t="shared" si="16"/>
        <v>220000</v>
      </c>
    </row>
    <row r="245" spans="1:9" ht="15">
      <c r="A245" s="15">
        <v>154</v>
      </c>
      <c r="B245" s="15">
        <v>44</v>
      </c>
      <c r="C245" s="23" t="s">
        <v>161</v>
      </c>
      <c r="D245" s="5"/>
      <c r="E245" s="5"/>
      <c r="F245" s="6">
        <f t="shared" si="14"/>
        <v>0</v>
      </c>
      <c r="G245" s="5"/>
      <c r="H245" s="5"/>
      <c r="I245" s="6">
        <f t="shared" si="16"/>
        <v>0</v>
      </c>
    </row>
    <row r="246" spans="1:9" ht="15">
      <c r="A246" s="15">
        <v>155</v>
      </c>
      <c r="B246" s="15">
        <v>45</v>
      </c>
      <c r="C246" s="23" t="s">
        <v>246</v>
      </c>
      <c r="D246" s="5"/>
      <c r="E246" s="5"/>
      <c r="F246" s="6">
        <f>SUM(D246:E246)</f>
        <v>0</v>
      </c>
      <c r="G246" s="5"/>
      <c r="H246" s="5"/>
      <c r="I246" s="6">
        <f>SUM(G246:H246)</f>
        <v>0</v>
      </c>
    </row>
    <row r="247" spans="1:9" ht="15">
      <c r="A247" s="15">
        <v>156</v>
      </c>
      <c r="B247" s="15">
        <v>46</v>
      </c>
      <c r="C247" s="23" t="s">
        <v>169</v>
      </c>
      <c r="D247" s="5"/>
      <c r="E247" s="5"/>
      <c r="F247" s="6">
        <f>SUM(D247:E247)</f>
        <v>0</v>
      </c>
      <c r="G247" s="5"/>
      <c r="H247" s="5"/>
      <c r="I247" s="6">
        <f>SUM(G247:H247)</f>
        <v>0</v>
      </c>
    </row>
    <row r="248" spans="1:9" ht="15">
      <c r="A248" s="15">
        <v>157</v>
      </c>
      <c r="B248" s="15">
        <v>47</v>
      </c>
      <c r="C248" s="25" t="s">
        <v>170</v>
      </c>
      <c r="D248" s="5">
        <v>950000</v>
      </c>
      <c r="E248" s="5"/>
      <c r="F248" s="6">
        <f>SUM(D248:E248)</f>
        <v>950000</v>
      </c>
      <c r="G248" s="5">
        <v>900000</v>
      </c>
      <c r="H248" s="5"/>
      <c r="I248" s="6">
        <f>SUM(G248:H248)</f>
        <v>900000</v>
      </c>
    </row>
    <row r="249" spans="1:9" ht="15">
      <c r="A249" s="15">
        <v>158</v>
      </c>
      <c r="B249" s="15">
        <v>48</v>
      </c>
      <c r="C249" s="23" t="s">
        <v>162</v>
      </c>
      <c r="D249" s="5"/>
      <c r="E249" s="5"/>
      <c r="F249" s="6">
        <f t="shared" si="14"/>
        <v>0</v>
      </c>
      <c r="G249" s="5"/>
      <c r="H249" s="5"/>
      <c r="I249" s="6">
        <f t="shared" si="16"/>
        <v>0</v>
      </c>
    </row>
    <row r="250" spans="1:9" ht="15">
      <c r="A250" s="15">
        <v>159</v>
      </c>
      <c r="B250" s="15">
        <v>49</v>
      </c>
      <c r="C250" s="23" t="s">
        <v>165</v>
      </c>
      <c r="D250" s="5">
        <v>1000000</v>
      </c>
      <c r="E250" s="5"/>
      <c r="F250" s="6">
        <f t="shared" si="14"/>
        <v>1000000</v>
      </c>
      <c r="G250" s="5">
        <v>1000000</v>
      </c>
      <c r="H250" s="5"/>
      <c r="I250" s="6">
        <f t="shared" si="16"/>
        <v>1000000</v>
      </c>
    </row>
    <row r="251" spans="1:9" ht="15">
      <c r="A251" s="15">
        <v>160</v>
      </c>
      <c r="B251" s="15">
        <v>50</v>
      </c>
      <c r="C251" s="23" t="s">
        <v>166</v>
      </c>
      <c r="D251" s="5"/>
      <c r="E251" s="5"/>
      <c r="F251" s="6">
        <f t="shared" si="14"/>
        <v>0</v>
      </c>
      <c r="G251" s="5">
        <v>1500000</v>
      </c>
      <c r="H251" s="5"/>
      <c r="I251" s="6">
        <f t="shared" si="16"/>
        <v>1500000</v>
      </c>
    </row>
    <row r="252" spans="1:9" ht="15">
      <c r="A252" s="15">
        <v>161</v>
      </c>
      <c r="B252" s="15">
        <v>51</v>
      </c>
      <c r="C252" s="23" t="s">
        <v>167</v>
      </c>
      <c r="D252" s="5">
        <v>1700000</v>
      </c>
      <c r="E252" s="5"/>
      <c r="F252" s="6">
        <f t="shared" si="14"/>
        <v>1700000</v>
      </c>
      <c r="G252" s="5"/>
      <c r="H252" s="5"/>
      <c r="I252" s="6">
        <f t="shared" si="16"/>
        <v>0</v>
      </c>
    </row>
    <row r="253" spans="1:9" ht="15">
      <c r="A253" s="15">
        <v>162</v>
      </c>
      <c r="B253" s="15">
        <v>52</v>
      </c>
      <c r="C253" s="23" t="s">
        <v>168</v>
      </c>
      <c r="D253" s="5">
        <v>3000000</v>
      </c>
      <c r="E253" s="5"/>
      <c r="F253" s="6">
        <f t="shared" si="14"/>
        <v>3000000</v>
      </c>
      <c r="G253" s="5"/>
      <c r="H253" s="5"/>
      <c r="I253" s="6">
        <f t="shared" si="16"/>
        <v>0</v>
      </c>
    </row>
    <row r="254" spans="1:9" ht="15">
      <c r="A254" s="15">
        <v>163</v>
      </c>
      <c r="B254" s="15">
        <v>53</v>
      </c>
      <c r="C254" s="23" t="s">
        <v>163</v>
      </c>
      <c r="D254" s="5">
        <v>750000</v>
      </c>
      <c r="E254" s="5"/>
      <c r="F254" s="6">
        <f>SUM(D254:E254)</f>
        <v>750000</v>
      </c>
      <c r="G254" s="5">
        <v>750000</v>
      </c>
      <c r="H254" s="5"/>
      <c r="I254" s="6">
        <f>SUM(G254:H254)</f>
        <v>750000</v>
      </c>
    </row>
    <row r="255" spans="1:9" ht="15">
      <c r="A255" s="15">
        <v>164</v>
      </c>
      <c r="B255" s="15">
        <v>54</v>
      </c>
      <c r="C255" s="23" t="s">
        <v>164</v>
      </c>
      <c r="D255" s="5"/>
      <c r="E255" s="5"/>
      <c r="F255" s="6">
        <f>SUM(D255:E255)</f>
        <v>0</v>
      </c>
      <c r="G255" s="5">
        <v>700000</v>
      </c>
      <c r="H255" s="5"/>
      <c r="I255" s="6">
        <f>SUM(G255:H255)</f>
        <v>700000</v>
      </c>
    </row>
    <row r="256" spans="1:9" ht="15">
      <c r="A256" s="15">
        <v>165</v>
      </c>
      <c r="B256" s="15">
        <v>55</v>
      </c>
      <c r="C256" s="23" t="s">
        <v>247</v>
      </c>
      <c r="D256" s="5"/>
      <c r="E256" s="5"/>
      <c r="F256" s="6">
        <f>SUM(D256:E256)</f>
        <v>0</v>
      </c>
      <c r="G256" s="5"/>
      <c r="H256" s="5"/>
      <c r="I256" s="6">
        <f>SUM(G256:H256)</f>
        <v>0</v>
      </c>
    </row>
    <row r="257" spans="1:9" ht="15">
      <c r="A257" s="239" t="s">
        <v>5</v>
      </c>
      <c r="B257" s="239"/>
      <c r="C257" s="239"/>
      <c r="D257" s="7">
        <f>SUM(D202:D256)</f>
        <v>10662721</v>
      </c>
      <c r="E257" s="7">
        <f>SUM(E202:E253)</f>
        <v>3096200</v>
      </c>
      <c r="F257" s="7">
        <f>SUM(D257:E257)</f>
        <v>13758921</v>
      </c>
      <c r="G257" s="7">
        <f>SUM(G202:G256)</f>
        <v>9973575</v>
      </c>
      <c r="H257" s="7">
        <f>SUM(H202:H256)</f>
        <v>5204200</v>
      </c>
      <c r="I257" s="7">
        <f>SUM(G257:H257)</f>
        <v>15177775</v>
      </c>
    </row>
    <row r="258" spans="1:9" ht="15">
      <c r="A258" s="224" t="s">
        <v>171</v>
      </c>
      <c r="B258" s="225"/>
      <c r="C258" s="225"/>
      <c r="D258" s="225"/>
      <c r="E258" s="225"/>
      <c r="F258" s="225"/>
      <c r="G258" s="225"/>
      <c r="H258" s="225"/>
      <c r="I258" s="226"/>
    </row>
    <row r="259" spans="1:9" ht="15">
      <c r="A259" s="15">
        <v>166</v>
      </c>
      <c r="B259" s="15">
        <v>1</v>
      </c>
      <c r="C259" s="20" t="s">
        <v>172</v>
      </c>
      <c r="D259" s="5"/>
      <c r="E259" s="5"/>
      <c r="F259" s="6">
        <f>SUM(D259:E259)</f>
        <v>0</v>
      </c>
      <c r="G259" s="5">
        <v>5490974</v>
      </c>
      <c r="H259" s="5">
        <v>1439500</v>
      </c>
      <c r="I259" s="6">
        <f>SUM(G259:H259)</f>
        <v>6930474</v>
      </c>
    </row>
    <row r="260" spans="1:9" ht="15">
      <c r="A260" s="15">
        <v>167</v>
      </c>
      <c r="B260" s="79">
        <v>2</v>
      </c>
      <c r="C260" s="96" t="s">
        <v>250</v>
      </c>
      <c r="D260" s="5"/>
      <c r="E260" s="5"/>
      <c r="F260" s="6">
        <f>SUM(D260:E260)</f>
        <v>0</v>
      </c>
      <c r="G260" s="5"/>
      <c r="H260" s="5"/>
      <c r="I260" s="6">
        <f>SUM(G260:H260)</f>
        <v>0</v>
      </c>
    </row>
    <row r="261" spans="1:9" ht="15">
      <c r="A261" s="224" t="s">
        <v>42</v>
      </c>
      <c r="B261" s="225"/>
      <c r="C261" s="225"/>
      <c r="D261" s="7">
        <f>D259</f>
        <v>0</v>
      </c>
      <c r="E261" s="7">
        <f>E259</f>
        <v>0</v>
      </c>
      <c r="F261" s="7">
        <f>SUM(D261:E261)</f>
        <v>0</v>
      </c>
      <c r="G261" s="7">
        <f>SUM(G259:G260)</f>
        <v>5490974</v>
      </c>
      <c r="H261" s="7">
        <f>SUM(H259:H260)</f>
        <v>1439500</v>
      </c>
      <c r="I261" s="7">
        <f>SUM(G261:H261)</f>
        <v>6930474</v>
      </c>
    </row>
    <row r="262" spans="1:9" ht="15">
      <c r="A262" s="224" t="s">
        <v>173</v>
      </c>
      <c r="B262" s="225"/>
      <c r="C262" s="225"/>
      <c r="D262" s="225"/>
      <c r="E262" s="225"/>
      <c r="F262" s="225"/>
      <c r="G262" s="225"/>
      <c r="H262" s="225"/>
      <c r="I262" s="226"/>
    </row>
    <row r="263" spans="1:9" ht="15">
      <c r="A263" s="15">
        <v>168</v>
      </c>
      <c r="B263" s="15">
        <v>1</v>
      </c>
      <c r="C263" s="26" t="s">
        <v>174</v>
      </c>
      <c r="D263" s="5"/>
      <c r="E263" s="27"/>
      <c r="F263" s="6">
        <f>SUM(D263:E263)</f>
        <v>0</v>
      </c>
      <c r="G263" s="5"/>
      <c r="H263" s="27"/>
      <c r="I263" s="6">
        <f>SUM(G263:H263)</f>
        <v>0</v>
      </c>
    </row>
    <row r="264" spans="1:9" ht="15">
      <c r="A264" s="15">
        <v>169</v>
      </c>
      <c r="B264" s="15">
        <v>2</v>
      </c>
      <c r="C264" s="28" t="s">
        <v>175</v>
      </c>
      <c r="D264" s="5">
        <v>500000</v>
      </c>
      <c r="E264" s="27">
        <v>1500000</v>
      </c>
      <c r="F264" s="6">
        <f>D264+E264</f>
        <v>2000000</v>
      </c>
      <c r="G264" s="5"/>
      <c r="H264" s="27">
        <v>1500000</v>
      </c>
      <c r="I264" s="6">
        <f>G264+H264</f>
        <v>1500000</v>
      </c>
    </row>
    <row r="265" spans="1:9" ht="15">
      <c r="A265" s="224" t="s">
        <v>42</v>
      </c>
      <c r="B265" s="225"/>
      <c r="C265" s="225"/>
      <c r="D265" s="7">
        <f>SUM(D263:D264)</f>
        <v>500000</v>
      </c>
      <c r="E265" s="7">
        <f>SUM(E263:E264)</f>
        <v>1500000</v>
      </c>
      <c r="F265" s="7">
        <f>SUM(D265:E265)</f>
        <v>2000000</v>
      </c>
      <c r="G265" s="7">
        <f>SUM(G263:G264)</f>
        <v>0</v>
      </c>
      <c r="H265" s="7">
        <f>SUM(H263:H264)</f>
        <v>1500000</v>
      </c>
      <c r="I265" s="7">
        <f>SUM(G265:H265)</f>
        <v>1500000</v>
      </c>
    </row>
    <row r="266" spans="1:9" ht="15">
      <c r="A266" s="224" t="s">
        <v>176</v>
      </c>
      <c r="B266" s="225"/>
      <c r="C266" s="225"/>
      <c r="D266" s="225"/>
      <c r="E266" s="225"/>
      <c r="F266" s="225"/>
      <c r="G266" s="225"/>
      <c r="H266" s="225"/>
      <c r="I266" s="226"/>
    </row>
    <row r="267" spans="1:13" ht="15">
      <c r="A267" s="15">
        <v>170</v>
      </c>
      <c r="B267" s="15">
        <v>1</v>
      </c>
      <c r="C267" s="17" t="s">
        <v>177</v>
      </c>
      <c r="D267" s="5"/>
      <c r="E267" s="5"/>
      <c r="F267" s="6">
        <f>SUM(D267:E267)</f>
        <v>0</v>
      </c>
      <c r="G267" s="5"/>
      <c r="H267" s="5"/>
      <c r="I267" s="6">
        <f>SUM(G267:H267)</f>
        <v>0</v>
      </c>
      <c r="L267" s="83"/>
      <c r="M267" s="83"/>
    </row>
    <row r="268" spans="1:13" ht="15">
      <c r="A268" s="15">
        <v>171</v>
      </c>
      <c r="B268" s="15">
        <v>2</v>
      </c>
      <c r="C268" s="17" t="s">
        <v>178</v>
      </c>
      <c r="D268" s="5"/>
      <c r="E268" s="5"/>
      <c r="F268" s="6">
        <f aca="true" t="shared" si="17" ref="F268:F275">SUM(D268:E268)</f>
        <v>0</v>
      </c>
      <c r="G268" s="5"/>
      <c r="H268" s="5"/>
      <c r="I268" s="6">
        <f aca="true" t="shared" si="18" ref="I268:I275">SUM(G268:H268)</f>
        <v>0</v>
      </c>
      <c r="L268" s="16"/>
      <c r="M268" s="100"/>
    </row>
    <row r="269" spans="1:13" ht="15">
      <c r="A269" s="15">
        <v>172</v>
      </c>
      <c r="B269" s="15">
        <v>3</v>
      </c>
      <c r="C269" s="29" t="s">
        <v>179</v>
      </c>
      <c r="D269" s="5"/>
      <c r="E269" s="5"/>
      <c r="F269" s="6">
        <f t="shared" si="17"/>
        <v>0</v>
      </c>
      <c r="G269" s="5"/>
      <c r="H269" s="5"/>
      <c r="I269" s="6">
        <f t="shared" si="18"/>
        <v>0</v>
      </c>
      <c r="L269" s="16"/>
      <c r="M269" s="16"/>
    </row>
    <row r="270" spans="1:13" ht="15">
      <c r="A270" s="15">
        <v>173</v>
      </c>
      <c r="B270" s="15">
        <v>4</v>
      </c>
      <c r="C270" s="29" t="s">
        <v>254</v>
      </c>
      <c r="D270" s="5"/>
      <c r="E270" s="5"/>
      <c r="F270" s="6">
        <f t="shared" si="17"/>
        <v>0</v>
      </c>
      <c r="G270" s="5"/>
      <c r="H270" s="5"/>
      <c r="I270" s="6">
        <f t="shared" si="18"/>
        <v>0</v>
      </c>
      <c r="L270" s="16"/>
      <c r="M270" s="16"/>
    </row>
    <row r="271" spans="1:9" ht="15">
      <c r="A271" s="15">
        <v>174</v>
      </c>
      <c r="B271" s="15">
        <v>5</v>
      </c>
      <c r="C271" s="26" t="s">
        <v>220</v>
      </c>
      <c r="D271" s="5">
        <f>125000+50000+400000</f>
        <v>575000</v>
      </c>
      <c r="E271" s="5">
        <v>400000</v>
      </c>
      <c r="F271" s="6">
        <f t="shared" si="17"/>
        <v>975000</v>
      </c>
      <c r="G271" s="5">
        <f>2089750+1000000</f>
        <v>3089750</v>
      </c>
      <c r="H271" s="5">
        <v>563000</v>
      </c>
      <c r="I271" s="6">
        <f t="shared" si="18"/>
        <v>3652750</v>
      </c>
    </row>
    <row r="272" spans="1:9" ht="15">
      <c r="A272" s="15">
        <v>175</v>
      </c>
      <c r="B272" s="15">
        <v>6</v>
      </c>
      <c r="C272" s="26" t="s">
        <v>221</v>
      </c>
      <c r="D272" s="5"/>
      <c r="E272" s="5">
        <v>50000</v>
      </c>
      <c r="F272" s="6">
        <f t="shared" si="17"/>
        <v>50000</v>
      </c>
      <c r="G272" s="5"/>
      <c r="H272" s="5"/>
      <c r="I272" s="6">
        <f t="shared" si="18"/>
        <v>0</v>
      </c>
    </row>
    <row r="273" spans="1:13" ht="15">
      <c r="A273" s="15">
        <v>176</v>
      </c>
      <c r="B273" s="15">
        <v>7</v>
      </c>
      <c r="C273" s="26" t="s">
        <v>222</v>
      </c>
      <c r="D273" s="5">
        <v>300000</v>
      </c>
      <c r="E273" s="5"/>
      <c r="F273" s="6">
        <f t="shared" si="17"/>
        <v>300000</v>
      </c>
      <c r="G273" s="5">
        <v>700000</v>
      </c>
      <c r="H273" s="5"/>
      <c r="I273" s="6">
        <f t="shared" si="18"/>
        <v>700000</v>
      </c>
      <c r="K273" s="81"/>
      <c r="L273" s="82"/>
      <c r="M273" s="82"/>
    </row>
    <row r="274" spans="1:9" ht="15">
      <c r="A274" s="15">
        <v>177</v>
      </c>
      <c r="B274" s="15">
        <v>8</v>
      </c>
      <c r="C274" s="26" t="s">
        <v>223</v>
      </c>
      <c r="D274" s="5"/>
      <c r="E274" s="5"/>
      <c r="F274" s="6">
        <f t="shared" si="17"/>
        <v>0</v>
      </c>
      <c r="G274" s="5"/>
      <c r="H274" s="5"/>
      <c r="I274" s="6">
        <f t="shared" si="18"/>
        <v>0</v>
      </c>
    </row>
    <row r="275" spans="1:13" ht="15">
      <c r="A275" s="15">
        <v>178</v>
      </c>
      <c r="B275" s="15">
        <v>9</v>
      </c>
      <c r="C275" s="26" t="s">
        <v>256</v>
      </c>
      <c r="D275" s="5"/>
      <c r="E275" s="5"/>
      <c r="F275" s="6">
        <f t="shared" si="17"/>
        <v>0</v>
      </c>
      <c r="G275" s="5"/>
      <c r="H275" s="5"/>
      <c r="I275" s="6">
        <f t="shared" si="18"/>
        <v>0</v>
      </c>
      <c r="L275" s="83"/>
      <c r="M275" s="83"/>
    </row>
    <row r="276" spans="1:13" ht="15">
      <c r="A276" s="15">
        <v>179</v>
      </c>
      <c r="B276" s="15">
        <v>10</v>
      </c>
      <c r="C276" s="28" t="s">
        <v>186</v>
      </c>
      <c r="D276" s="5"/>
      <c r="E276" s="5"/>
      <c r="F276" s="6">
        <f>SUM(D276:E276)</f>
        <v>0</v>
      </c>
      <c r="G276" s="5"/>
      <c r="H276" s="5"/>
      <c r="I276" s="6">
        <f>SUM(G276:H276)</f>
        <v>0</v>
      </c>
      <c r="L276" s="16"/>
      <c r="M276" s="16"/>
    </row>
    <row r="277" spans="1:9" ht="15">
      <c r="A277" s="15">
        <v>180</v>
      </c>
      <c r="B277" s="15">
        <v>11</v>
      </c>
      <c r="C277" s="30" t="s">
        <v>185</v>
      </c>
      <c r="D277" s="5">
        <v>220000</v>
      </c>
      <c r="E277" s="5"/>
      <c r="F277" s="6">
        <f>SUM(D277:E277)</f>
        <v>220000</v>
      </c>
      <c r="G277" s="5">
        <v>220000</v>
      </c>
      <c r="H277" s="5"/>
      <c r="I277" s="6">
        <f aca="true" t="shared" si="19" ref="I277:I284">SUM(G277:H277)</f>
        <v>220000</v>
      </c>
    </row>
    <row r="278" spans="1:9" ht="15">
      <c r="A278" s="15">
        <v>181</v>
      </c>
      <c r="B278" s="15">
        <v>12</v>
      </c>
      <c r="C278" s="32" t="s">
        <v>308</v>
      </c>
      <c r="D278" s="31">
        <v>400000</v>
      </c>
      <c r="E278" s="27"/>
      <c r="F278" s="6">
        <f>SUM(D278:E278)</f>
        <v>400000</v>
      </c>
      <c r="G278" s="31">
        <v>400000</v>
      </c>
      <c r="H278" s="27"/>
      <c r="I278" s="6">
        <f t="shared" si="19"/>
        <v>400000</v>
      </c>
    </row>
    <row r="279" spans="1:9" ht="15">
      <c r="A279" s="15">
        <v>182</v>
      </c>
      <c r="B279" s="15">
        <v>13</v>
      </c>
      <c r="C279" s="32" t="s">
        <v>309</v>
      </c>
      <c r="D279" s="31">
        <v>60000</v>
      </c>
      <c r="E279" s="27"/>
      <c r="F279" s="6">
        <f>SUM(D279:E279)</f>
        <v>60000</v>
      </c>
      <c r="G279" s="31">
        <v>70000</v>
      </c>
      <c r="H279" s="27"/>
      <c r="I279" s="6">
        <f t="shared" si="19"/>
        <v>70000</v>
      </c>
    </row>
    <row r="280" spans="1:9" ht="15">
      <c r="A280" s="15">
        <v>183</v>
      </c>
      <c r="B280" s="15">
        <v>14</v>
      </c>
      <c r="C280" s="32" t="s">
        <v>310</v>
      </c>
      <c r="D280" s="31">
        <v>1000000</v>
      </c>
      <c r="E280" s="27"/>
      <c r="F280" s="6">
        <f>SUM(D280:E280)</f>
        <v>1000000</v>
      </c>
      <c r="G280" s="31"/>
      <c r="H280" s="27"/>
      <c r="I280" s="6">
        <f t="shared" si="19"/>
        <v>0</v>
      </c>
    </row>
    <row r="281" spans="1:9" ht="15">
      <c r="A281" s="15">
        <v>184</v>
      </c>
      <c r="B281" s="15">
        <v>15</v>
      </c>
      <c r="C281" s="32" t="s">
        <v>354</v>
      </c>
      <c r="D281" s="31"/>
      <c r="E281" s="27"/>
      <c r="F281" s="91"/>
      <c r="G281" s="31">
        <v>500000</v>
      </c>
      <c r="H281" s="27"/>
      <c r="I281" s="6">
        <f t="shared" si="19"/>
        <v>500000</v>
      </c>
    </row>
    <row r="282" spans="1:9" ht="15">
      <c r="A282" s="15">
        <v>185</v>
      </c>
      <c r="B282" s="15">
        <v>16</v>
      </c>
      <c r="C282" s="32" t="s">
        <v>355</v>
      </c>
      <c r="D282" s="31"/>
      <c r="E282" s="27"/>
      <c r="F282" s="91"/>
      <c r="G282" s="31">
        <v>175000</v>
      </c>
      <c r="H282" s="27"/>
      <c r="I282" s="6">
        <f t="shared" si="19"/>
        <v>175000</v>
      </c>
    </row>
    <row r="283" spans="1:9" ht="15">
      <c r="A283" s="15">
        <v>186</v>
      </c>
      <c r="B283" s="15">
        <v>17</v>
      </c>
      <c r="C283" s="32" t="s">
        <v>356</v>
      </c>
      <c r="D283" s="31"/>
      <c r="E283" s="27"/>
      <c r="F283" s="91"/>
      <c r="G283" s="31">
        <v>200000</v>
      </c>
      <c r="H283" s="27"/>
      <c r="I283" s="6">
        <f t="shared" si="19"/>
        <v>200000</v>
      </c>
    </row>
    <row r="284" spans="1:9" ht="15">
      <c r="A284" s="15">
        <v>187</v>
      </c>
      <c r="B284" s="15">
        <v>18</v>
      </c>
      <c r="C284" s="32" t="s">
        <v>377</v>
      </c>
      <c r="D284" s="31"/>
      <c r="E284" s="27"/>
      <c r="F284" s="91"/>
      <c r="G284" s="31">
        <v>151350</v>
      </c>
      <c r="H284" s="27"/>
      <c r="I284" s="91">
        <f t="shared" si="19"/>
        <v>151350</v>
      </c>
    </row>
    <row r="285" spans="1:9" ht="15.75" thickBot="1">
      <c r="A285" s="253" t="s">
        <v>42</v>
      </c>
      <c r="B285" s="254"/>
      <c r="C285" s="255"/>
      <c r="D285" s="33">
        <f>SUM(D267:D284)</f>
        <v>2555000</v>
      </c>
      <c r="E285" s="33">
        <f>SUM(E267:E283)</f>
        <v>450000</v>
      </c>
      <c r="F285" s="33">
        <f>SUM(D285:E285)</f>
        <v>3005000</v>
      </c>
      <c r="G285" s="33">
        <f>SUM(G267:G284)</f>
        <v>5506100</v>
      </c>
      <c r="H285" s="33">
        <f>SUM(H268:H283)</f>
        <v>563000</v>
      </c>
      <c r="I285" s="33">
        <f>SUM(G285:H285)</f>
        <v>6069100</v>
      </c>
    </row>
    <row r="286" spans="1:9" ht="16.5" thickBot="1" thickTop="1">
      <c r="A286" s="237" t="s">
        <v>190</v>
      </c>
      <c r="B286" s="238"/>
      <c r="C286" s="238"/>
      <c r="D286" s="34">
        <f>D285+D265+D261+D257+D200+D175+D153+D131+D128+D125+D120+D107+D85+D75+D72</f>
        <v>133152657</v>
      </c>
      <c r="E286" s="34">
        <f>E285+E265+E261+E257+E200+E175+E153+E131+E128+E125+E120+E107+E85+E75+E72</f>
        <v>44942183</v>
      </c>
      <c r="F286" s="34">
        <f>SUM(D286:E286)</f>
        <v>178094840</v>
      </c>
      <c r="G286" s="34">
        <f>G285+G265+G261+G257+G200+G175+G153+G131+G128+G125+G120+G107+G85+G75+G72</f>
        <v>85910846</v>
      </c>
      <c r="H286" s="34">
        <f>H285+H265+H261+H257+H200+H175+H153+H131+H128+H125+H120+H107+H85+H75+H72</f>
        <v>42212343</v>
      </c>
      <c r="I286" s="34">
        <f>SUM(G286:H286)</f>
        <v>128123189</v>
      </c>
    </row>
    <row r="287" spans="1:10" ht="15.75" thickTop="1">
      <c r="A287" s="35"/>
      <c r="B287" s="35"/>
      <c r="C287" s="35"/>
      <c r="D287" s="36"/>
      <c r="E287" s="36"/>
      <c r="F287" s="36"/>
      <c r="G287" s="36"/>
      <c r="H287" s="36"/>
      <c r="I287" s="36"/>
      <c r="J287" s="37"/>
    </row>
    <row r="288" spans="1:8" ht="15">
      <c r="A288" s="39"/>
      <c r="B288" s="39"/>
      <c r="C288" s="39"/>
      <c r="D288" s="38"/>
      <c r="E288" s="38"/>
      <c r="G288" s="38" t="s">
        <v>347</v>
      </c>
      <c r="H288" s="38"/>
    </row>
    <row r="289" spans="1:8" ht="15">
      <c r="A289" s="39"/>
      <c r="B289" s="39"/>
      <c r="C289" s="38" t="s">
        <v>199</v>
      </c>
      <c r="D289" s="38"/>
      <c r="E289" s="38"/>
      <c r="G289" s="240" t="s">
        <v>349</v>
      </c>
      <c r="H289" s="240"/>
    </row>
    <row r="290" spans="1:8" ht="15">
      <c r="A290" s="39"/>
      <c r="B290" s="39"/>
      <c r="C290" s="39"/>
      <c r="D290" s="39"/>
      <c r="E290" s="39"/>
      <c r="G290" s="39"/>
      <c r="H290" s="39"/>
    </row>
    <row r="291" spans="1:8" ht="15">
      <c r="A291" s="39"/>
      <c r="B291" s="61"/>
      <c r="C291" s="272" t="s">
        <v>866</v>
      </c>
      <c r="D291" s="39"/>
      <c r="E291" s="39"/>
      <c r="G291" s="270" t="s">
        <v>866</v>
      </c>
      <c r="H291" s="39"/>
    </row>
    <row r="292" spans="1:9" ht="15">
      <c r="A292" s="39"/>
      <c r="B292" s="61"/>
      <c r="C292" s="38" t="s">
        <v>269</v>
      </c>
      <c r="D292" s="62"/>
      <c r="E292" s="62"/>
      <c r="F292" s="240" t="s">
        <v>350</v>
      </c>
      <c r="G292" s="240"/>
      <c r="H292" s="240"/>
      <c r="I292" s="240"/>
    </row>
    <row r="293" spans="1:12" ht="15">
      <c r="A293" s="35"/>
      <c r="B293" s="35"/>
      <c r="C293" s="35"/>
      <c r="D293" s="36"/>
      <c r="E293" s="36"/>
      <c r="F293" s="36"/>
      <c r="G293" s="36"/>
      <c r="H293" s="36"/>
      <c r="I293" s="36"/>
      <c r="J293" s="37"/>
      <c r="L293" s="16"/>
    </row>
    <row r="294" spans="1:9" ht="15">
      <c r="A294" s="240" t="s">
        <v>191</v>
      </c>
      <c r="B294" s="240"/>
      <c r="C294" s="240"/>
      <c r="D294" s="240"/>
      <c r="E294" s="240"/>
      <c r="F294" s="240"/>
      <c r="G294" s="240"/>
      <c r="H294" s="240"/>
      <c r="I294" s="240"/>
    </row>
    <row r="295" spans="1:9" ht="15">
      <c r="A295" s="240" t="s">
        <v>346</v>
      </c>
      <c r="B295" s="240"/>
      <c r="C295" s="240"/>
      <c r="D295" s="240"/>
      <c r="E295" s="240"/>
      <c r="F295" s="240"/>
      <c r="G295" s="240"/>
      <c r="H295" s="240"/>
      <c r="I295" s="240"/>
    </row>
    <row r="296" spans="1:9" ht="15">
      <c r="A296" s="38" t="s">
        <v>192</v>
      </c>
      <c r="B296" s="72" t="s">
        <v>195</v>
      </c>
      <c r="C296" s="38"/>
      <c r="D296" s="38"/>
      <c r="E296" s="38"/>
      <c r="F296" s="38"/>
      <c r="G296" s="38"/>
      <c r="H296" s="38"/>
      <c r="I296" s="38"/>
    </row>
    <row r="297" spans="1:9" ht="15">
      <c r="A297" s="40"/>
      <c r="B297" s="243" t="s">
        <v>2</v>
      </c>
      <c r="C297" s="247" t="s">
        <v>193</v>
      </c>
      <c r="D297" s="248"/>
      <c r="E297" s="248"/>
      <c r="F297" s="248"/>
      <c r="G297" s="248"/>
      <c r="H297" s="249"/>
      <c r="I297" s="85" t="s">
        <v>42</v>
      </c>
    </row>
    <row r="298" spans="1:9" ht="15">
      <c r="A298" s="39"/>
      <c r="B298" s="244"/>
      <c r="C298" s="250"/>
      <c r="D298" s="251"/>
      <c r="E298" s="251"/>
      <c r="F298" s="251"/>
      <c r="G298" s="251"/>
      <c r="H298" s="252"/>
      <c r="I298" s="84" t="s">
        <v>194</v>
      </c>
    </row>
    <row r="299" spans="1:9" ht="15">
      <c r="A299" s="39"/>
      <c r="B299" s="70">
        <v>1</v>
      </c>
      <c r="C299" s="45" t="s">
        <v>339</v>
      </c>
      <c r="D299" s="60"/>
      <c r="E299" s="60"/>
      <c r="F299" s="69"/>
      <c r="G299" s="60"/>
      <c r="H299" s="60"/>
      <c r="I299" s="59"/>
    </row>
    <row r="300" spans="1:9" ht="15">
      <c r="A300" s="39"/>
      <c r="B300" s="70"/>
      <c r="C300" s="45" t="s">
        <v>357</v>
      </c>
      <c r="D300" s="60"/>
      <c r="E300" s="60"/>
      <c r="F300" s="69"/>
      <c r="G300" s="60"/>
      <c r="H300" s="60"/>
      <c r="I300" s="59">
        <v>6565900</v>
      </c>
    </row>
    <row r="301" spans="1:9" ht="15">
      <c r="A301" s="39"/>
      <c r="B301" s="70">
        <v>2</v>
      </c>
      <c r="C301" s="45" t="s">
        <v>462</v>
      </c>
      <c r="D301" s="60"/>
      <c r="E301" s="60"/>
      <c r="F301" s="69"/>
      <c r="G301" s="60"/>
      <c r="H301" s="60"/>
      <c r="I301" s="59"/>
    </row>
    <row r="302" spans="1:9" ht="15">
      <c r="A302" s="39"/>
      <c r="B302" s="70"/>
      <c r="C302" s="45" t="s">
        <v>481</v>
      </c>
      <c r="D302" s="60"/>
      <c r="E302" s="60"/>
      <c r="F302" s="69"/>
      <c r="G302" s="60"/>
      <c r="H302" s="60"/>
      <c r="I302" s="59">
        <v>5000000</v>
      </c>
    </row>
    <row r="303" spans="1:9" ht="15">
      <c r="A303" s="39"/>
      <c r="B303" s="70"/>
      <c r="C303" s="45" t="s">
        <v>482</v>
      </c>
      <c r="D303" s="60"/>
      <c r="E303" s="60"/>
      <c r="F303" s="69"/>
      <c r="G303" s="60"/>
      <c r="H303" s="60"/>
      <c r="I303" s="59">
        <v>5000000</v>
      </c>
    </row>
    <row r="304" spans="1:9" ht="15">
      <c r="A304" s="39"/>
      <c r="B304" s="70"/>
      <c r="C304" s="45" t="s">
        <v>483</v>
      </c>
      <c r="D304" s="60"/>
      <c r="E304" s="60"/>
      <c r="F304" s="69"/>
      <c r="G304" s="60"/>
      <c r="H304" s="60"/>
      <c r="I304" s="59">
        <v>5000000</v>
      </c>
    </row>
    <row r="305" spans="1:9" ht="15">
      <c r="A305" s="39"/>
      <c r="B305" s="70">
        <v>3</v>
      </c>
      <c r="C305" s="45" t="s">
        <v>463</v>
      </c>
      <c r="D305" s="60"/>
      <c r="E305" s="60"/>
      <c r="F305" s="69"/>
      <c r="G305" s="60"/>
      <c r="H305" s="60"/>
      <c r="I305" s="59"/>
    </row>
    <row r="306" spans="1:9" ht="15">
      <c r="A306" s="39"/>
      <c r="B306" s="70"/>
      <c r="C306" s="45" t="s">
        <v>472</v>
      </c>
      <c r="D306" s="60"/>
      <c r="E306" s="60"/>
      <c r="F306" s="69"/>
      <c r="G306" s="60"/>
      <c r="H306" s="60"/>
      <c r="I306" s="59">
        <f>2500000-50000</f>
        <v>2450000</v>
      </c>
    </row>
    <row r="307" spans="1:10" ht="15">
      <c r="A307" s="39"/>
      <c r="B307" s="70"/>
      <c r="C307" s="45" t="s">
        <v>469</v>
      </c>
      <c r="D307" s="60"/>
      <c r="E307" s="60"/>
      <c r="F307" s="69"/>
      <c r="G307" s="60"/>
      <c r="H307" s="60"/>
      <c r="I307" s="59">
        <f>2500000-180000</f>
        <v>2320000</v>
      </c>
      <c r="J307" s="88"/>
    </row>
    <row r="308" spans="1:9" ht="15">
      <c r="A308" s="39"/>
      <c r="B308" s="70"/>
      <c r="C308" s="45" t="s">
        <v>471</v>
      </c>
      <c r="D308" s="60"/>
      <c r="E308" s="60"/>
      <c r="F308" s="69"/>
      <c r="G308" s="60"/>
      <c r="H308" s="60"/>
      <c r="I308" s="59">
        <f>2500000</f>
        <v>2500000</v>
      </c>
    </row>
    <row r="309" spans="1:9" ht="15">
      <c r="A309" s="39"/>
      <c r="B309" s="41">
        <v>4</v>
      </c>
      <c r="C309" s="45" t="s">
        <v>464</v>
      </c>
      <c r="D309" s="42"/>
      <c r="E309" s="42"/>
      <c r="F309" s="63"/>
      <c r="G309" s="42"/>
      <c r="H309" s="43"/>
      <c r="I309" s="98">
        <v>1000000</v>
      </c>
    </row>
    <row r="310" spans="1:9" ht="15">
      <c r="A310" s="39"/>
      <c r="B310" s="41">
        <v>5</v>
      </c>
      <c r="C310" s="45" t="s">
        <v>358</v>
      </c>
      <c r="D310" s="42"/>
      <c r="E310" s="42"/>
      <c r="F310" s="63"/>
      <c r="G310" s="42"/>
      <c r="H310" s="43"/>
      <c r="I310" s="44"/>
    </row>
    <row r="311" spans="1:9" ht="15">
      <c r="A311" s="39"/>
      <c r="B311" s="41"/>
      <c r="C311" s="46" t="s">
        <v>465</v>
      </c>
      <c r="D311" s="47"/>
      <c r="E311" s="47"/>
      <c r="F311" s="63"/>
      <c r="G311" s="47"/>
      <c r="H311" s="48"/>
      <c r="I311" s="44">
        <v>300000</v>
      </c>
    </row>
    <row r="312" spans="1:9" ht="15">
      <c r="A312" s="39"/>
      <c r="B312" s="41"/>
      <c r="C312" s="51" t="s">
        <v>466</v>
      </c>
      <c r="D312" s="49"/>
      <c r="E312" s="49"/>
      <c r="F312" s="63"/>
      <c r="G312" s="49"/>
      <c r="H312" s="50"/>
      <c r="I312" s="44">
        <v>300000</v>
      </c>
    </row>
    <row r="313" spans="1:10" ht="15">
      <c r="A313" s="39"/>
      <c r="B313" s="41">
        <v>6</v>
      </c>
      <c r="C313" s="45" t="s">
        <v>359</v>
      </c>
      <c r="D313" s="52"/>
      <c r="E313" s="52"/>
      <c r="F313" s="63"/>
      <c r="G313" s="52"/>
      <c r="H313" s="53"/>
      <c r="I313" s="54"/>
      <c r="J313" s="88"/>
    </row>
    <row r="314" spans="1:9" ht="15">
      <c r="A314" s="39"/>
      <c r="B314" s="41"/>
      <c r="C314" s="55" t="s">
        <v>467</v>
      </c>
      <c r="D314" s="52"/>
      <c r="E314" s="52"/>
      <c r="F314" s="63"/>
      <c r="G314" s="52"/>
      <c r="H314" s="53"/>
      <c r="I314" s="54">
        <v>300000</v>
      </c>
    </row>
    <row r="315" spans="1:9" ht="15">
      <c r="A315" s="39"/>
      <c r="B315" s="41"/>
      <c r="C315" s="55" t="s">
        <v>468</v>
      </c>
      <c r="D315" s="52"/>
      <c r="E315" s="52"/>
      <c r="F315" s="63"/>
      <c r="G315" s="52"/>
      <c r="H315" s="53"/>
      <c r="I315" s="54">
        <v>300000</v>
      </c>
    </row>
    <row r="316" spans="1:11" ht="15">
      <c r="A316" s="39"/>
      <c r="B316" s="41">
        <v>7</v>
      </c>
      <c r="C316" s="55" t="s">
        <v>360</v>
      </c>
      <c r="D316" s="52"/>
      <c r="E316" s="52"/>
      <c r="F316" s="63"/>
      <c r="G316" s="52"/>
      <c r="H316" s="53"/>
      <c r="I316" s="92">
        <v>510000</v>
      </c>
      <c r="K316" t="s">
        <v>198</v>
      </c>
    </row>
    <row r="317" spans="1:9" ht="15">
      <c r="A317" s="56"/>
      <c r="B317" s="241" t="s">
        <v>5</v>
      </c>
      <c r="C317" s="245"/>
      <c r="D317" s="245"/>
      <c r="E317" s="245"/>
      <c r="F317" s="66"/>
      <c r="G317" s="66"/>
      <c r="H317" s="67"/>
      <c r="I317" s="57">
        <f>SUM(I299:I316)</f>
        <v>31545900</v>
      </c>
    </row>
    <row r="318" spans="1:9" ht="15">
      <c r="A318" s="58"/>
      <c r="B318" s="58"/>
      <c r="C318" s="58"/>
      <c r="D318" s="58"/>
      <c r="E318" s="58"/>
      <c r="F318" s="58"/>
      <c r="G318" s="73"/>
      <c r="H318" s="73"/>
      <c r="I318" s="58"/>
    </row>
    <row r="319" spans="1:9" ht="15">
      <c r="A319" s="74" t="s">
        <v>196</v>
      </c>
      <c r="B319" s="75" t="s">
        <v>197</v>
      </c>
      <c r="C319" s="75"/>
      <c r="D319" s="58"/>
      <c r="E319" s="58"/>
      <c r="F319" s="58"/>
      <c r="G319" s="58"/>
      <c r="H319" s="58"/>
      <c r="I319" s="58"/>
    </row>
    <row r="320" spans="1:9" ht="15">
      <c r="A320" s="40"/>
      <c r="B320" s="243" t="s">
        <v>2</v>
      </c>
      <c r="C320" s="248" t="s">
        <v>193</v>
      </c>
      <c r="D320" s="248"/>
      <c r="E320" s="248"/>
      <c r="F320" s="248"/>
      <c r="G320" s="248"/>
      <c r="H320" s="249"/>
      <c r="I320" s="85" t="s">
        <v>42</v>
      </c>
    </row>
    <row r="321" spans="1:9" ht="15">
      <c r="A321" s="58"/>
      <c r="B321" s="244"/>
      <c r="C321" s="251"/>
      <c r="D321" s="251"/>
      <c r="E321" s="251"/>
      <c r="F321" s="251"/>
      <c r="G321" s="251"/>
      <c r="H321" s="252"/>
      <c r="I321" s="84" t="s">
        <v>194</v>
      </c>
    </row>
    <row r="322" spans="1:9" ht="15">
      <c r="A322" s="58"/>
      <c r="B322" s="70">
        <v>1</v>
      </c>
      <c r="C322" s="45" t="s">
        <v>339</v>
      </c>
      <c r="D322" s="42"/>
      <c r="E322" s="42"/>
      <c r="F322" s="69"/>
      <c r="G322" s="42"/>
      <c r="H322" s="42"/>
      <c r="I322" s="59"/>
    </row>
    <row r="323" spans="1:9" ht="15">
      <c r="A323" s="58"/>
      <c r="B323" s="70"/>
      <c r="C323" s="45" t="s">
        <v>361</v>
      </c>
      <c r="D323" s="42"/>
      <c r="E323" s="42"/>
      <c r="F323" s="69"/>
      <c r="G323" s="42"/>
      <c r="H323" s="42"/>
      <c r="I323" s="94">
        <f>1831836</f>
        <v>1831836</v>
      </c>
    </row>
    <row r="324" spans="1:10" ht="15">
      <c r="A324" s="58"/>
      <c r="B324" s="70"/>
      <c r="C324" s="45" t="s">
        <v>362</v>
      </c>
      <c r="D324" s="42"/>
      <c r="E324" s="42"/>
      <c r="F324" s="69"/>
      <c r="G324" s="42"/>
      <c r="H324" s="42"/>
      <c r="I324" s="99">
        <v>406800</v>
      </c>
      <c r="J324" s="88"/>
    </row>
    <row r="325" spans="1:9" ht="15">
      <c r="A325" s="58"/>
      <c r="B325" s="70">
        <v>2</v>
      </c>
      <c r="C325" s="45" t="s">
        <v>363</v>
      </c>
      <c r="D325" s="42"/>
      <c r="E325" s="42"/>
      <c r="F325" s="69"/>
      <c r="G325" s="42"/>
      <c r="H325" s="42"/>
      <c r="I325" s="99"/>
    </row>
    <row r="326" spans="1:9" ht="15">
      <c r="A326" s="58"/>
      <c r="B326" s="70"/>
      <c r="C326" s="45" t="s">
        <v>364</v>
      </c>
      <c r="D326" s="60"/>
      <c r="E326" s="60"/>
      <c r="F326" s="69"/>
      <c r="G326" s="60"/>
      <c r="H326" s="60"/>
      <c r="I326" s="99">
        <v>3000000</v>
      </c>
    </row>
    <row r="327" spans="1:9" ht="15">
      <c r="A327" s="58"/>
      <c r="B327" s="70"/>
      <c r="C327" s="45" t="s">
        <v>368</v>
      </c>
      <c r="D327" s="60"/>
      <c r="E327" s="60"/>
      <c r="F327" s="69"/>
      <c r="G327" s="60"/>
      <c r="H327" s="60"/>
      <c r="I327" s="99">
        <v>1000000</v>
      </c>
    </row>
    <row r="328" spans="1:9" ht="15">
      <c r="A328" s="58"/>
      <c r="B328" s="70"/>
      <c r="C328" s="45" t="s">
        <v>369</v>
      </c>
      <c r="D328" s="60"/>
      <c r="E328" s="60"/>
      <c r="F328" s="69"/>
      <c r="G328" s="60"/>
      <c r="H328" s="60"/>
      <c r="I328" s="99">
        <v>500000</v>
      </c>
    </row>
    <row r="329" spans="1:9" ht="15">
      <c r="A329" s="58"/>
      <c r="B329" s="70"/>
      <c r="C329" s="45" t="s">
        <v>376</v>
      </c>
      <c r="D329" s="60"/>
      <c r="E329" s="60"/>
      <c r="F329" s="69"/>
      <c r="G329" s="60"/>
      <c r="H329" s="60"/>
      <c r="I329" s="99">
        <v>1000000</v>
      </c>
    </row>
    <row r="330" spans="1:9" ht="15">
      <c r="A330" s="58"/>
      <c r="B330" s="70">
        <v>3</v>
      </c>
      <c r="C330" s="45" t="s">
        <v>365</v>
      </c>
      <c r="D330" s="60"/>
      <c r="E330" s="60"/>
      <c r="F330" s="69"/>
      <c r="G330" s="60"/>
      <c r="H330" s="60"/>
      <c r="I330" s="99"/>
    </row>
    <row r="331" spans="1:9" ht="15">
      <c r="A331" s="58"/>
      <c r="B331" s="70"/>
      <c r="C331" s="45" t="s">
        <v>470</v>
      </c>
      <c r="D331" s="60"/>
      <c r="E331" s="60"/>
      <c r="F331" s="69"/>
      <c r="G331" s="60"/>
      <c r="H331" s="60"/>
      <c r="I331" s="99">
        <v>424200</v>
      </c>
    </row>
    <row r="332" spans="1:9" ht="15">
      <c r="A332" s="58"/>
      <c r="B332" s="70">
        <v>4</v>
      </c>
      <c r="C332" s="45" t="s">
        <v>366</v>
      </c>
      <c r="D332" s="60"/>
      <c r="E332" s="60"/>
      <c r="F332" s="69"/>
      <c r="G332" s="60"/>
      <c r="H332" s="60"/>
      <c r="I332" s="99">
        <f>400000+300000-75000</f>
        <v>625000</v>
      </c>
    </row>
    <row r="333" spans="1:9" ht="15">
      <c r="A333" s="58"/>
      <c r="B333" s="70"/>
      <c r="C333" s="45" t="s">
        <v>367</v>
      </c>
      <c r="D333" s="60"/>
      <c r="E333" s="60"/>
      <c r="F333" s="69"/>
      <c r="G333" s="60"/>
      <c r="H333" s="60"/>
      <c r="I333" s="99">
        <v>780000</v>
      </c>
    </row>
    <row r="334" spans="1:9" ht="15">
      <c r="A334" s="58"/>
      <c r="B334" s="70">
        <v>5</v>
      </c>
      <c r="C334" s="45" t="s">
        <v>370</v>
      </c>
      <c r="D334" s="60"/>
      <c r="E334" s="60"/>
      <c r="F334" s="69"/>
      <c r="G334" s="60"/>
      <c r="H334" s="60"/>
      <c r="I334" s="99"/>
    </row>
    <row r="335" spans="1:10" ht="15">
      <c r="A335" s="58"/>
      <c r="B335" s="70"/>
      <c r="C335" s="45" t="s">
        <v>371</v>
      </c>
      <c r="D335" s="60"/>
      <c r="E335" s="60"/>
      <c r="F335" s="69"/>
      <c r="G335" s="60"/>
      <c r="H335" s="60"/>
      <c r="I335" s="99">
        <v>350000</v>
      </c>
      <c r="J335" s="88"/>
    </row>
    <row r="336" spans="1:9" ht="15">
      <c r="A336" s="58"/>
      <c r="B336" s="70"/>
      <c r="C336" s="45" t="s">
        <v>372</v>
      </c>
      <c r="D336" s="60"/>
      <c r="E336" s="60"/>
      <c r="F336" s="69"/>
      <c r="G336" s="60"/>
      <c r="H336" s="60"/>
      <c r="I336" s="99">
        <v>75000</v>
      </c>
    </row>
    <row r="337" spans="1:9" ht="15">
      <c r="A337" s="58"/>
      <c r="B337" s="70"/>
      <c r="C337" s="89" t="s">
        <v>373</v>
      </c>
      <c r="D337" s="60"/>
      <c r="E337" s="60"/>
      <c r="F337" s="69"/>
      <c r="G337" s="60"/>
      <c r="H337" s="60"/>
      <c r="I337" s="99">
        <v>75000</v>
      </c>
    </row>
    <row r="338" spans="1:11" ht="15">
      <c r="A338" s="58"/>
      <c r="B338" s="70"/>
      <c r="C338" s="45" t="s">
        <v>374</v>
      </c>
      <c r="D338" s="60"/>
      <c r="E338" s="60"/>
      <c r="F338" s="69"/>
      <c r="G338" s="60"/>
      <c r="H338" s="60"/>
      <c r="I338" s="99">
        <v>75000</v>
      </c>
      <c r="K338" t="s">
        <v>231</v>
      </c>
    </row>
    <row r="339" spans="1:9" ht="15">
      <c r="A339" s="58"/>
      <c r="B339" s="70"/>
      <c r="C339" s="45" t="s">
        <v>375</v>
      </c>
      <c r="D339" s="60"/>
      <c r="E339" s="60"/>
      <c r="F339" s="69"/>
      <c r="G339" s="60"/>
      <c r="H339" s="60"/>
      <c r="I339" s="99">
        <v>75000</v>
      </c>
    </row>
    <row r="340" spans="1:9" ht="15">
      <c r="A340" s="58"/>
      <c r="B340" s="70"/>
      <c r="C340" s="45" t="s">
        <v>420</v>
      </c>
      <c r="D340" s="60"/>
      <c r="E340" s="60"/>
      <c r="F340" s="69"/>
      <c r="G340" s="60"/>
      <c r="H340" s="60"/>
      <c r="I340" s="59">
        <v>1000000</v>
      </c>
    </row>
    <row r="341" spans="1:9" ht="15">
      <c r="A341" s="58"/>
      <c r="B341" s="70"/>
      <c r="C341" s="45" t="s">
        <v>421</v>
      </c>
      <c r="D341" s="60"/>
      <c r="E341" s="60"/>
      <c r="F341" s="69"/>
      <c r="G341" s="60"/>
      <c r="H341" s="60"/>
      <c r="I341" s="59">
        <f>600000+500000</f>
        <v>1100000</v>
      </c>
    </row>
    <row r="342" spans="1:9" ht="15">
      <c r="A342" s="58"/>
      <c r="B342" s="70"/>
      <c r="C342" s="45" t="s">
        <v>473</v>
      </c>
      <c r="D342" s="60"/>
      <c r="E342" s="60"/>
      <c r="F342" s="69"/>
      <c r="G342" s="60"/>
      <c r="H342" s="60"/>
      <c r="I342" s="59">
        <v>350000</v>
      </c>
    </row>
    <row r="343" spans="1:9" ht="15">
      <c r="A343" s="58"/>
      <c r="B343" s="70"/>
      <c r="C343" s="45" t="s">
        <v>474</v>
      </c>
      <c r="D343" s="60"/>
      <c r="E343" s="60"/>
      <c r="F343" s="69"/>
      <c r="G343" s="60"/>
      <c r="H343" s="60"/>
      <c r="I343" s="59">
        <v>125000</v>
      </c>
    </row>
    <row r="344" spans="1:9" ht="15">
      <c r="A344" s="58"/>
      <c r="B344" s="70"/>
      <c r="C344" s="45" t="s">
        <v>475</v>
      </c>
      <c r="D344" s="60"/>
      <c r="E344" s="60"/>
      <c r="F344" s="69"/>
      <c r="G344" s="60"/>
      <c r="H344" s="60"/>
      <c r="I344" s="59">
        <v>100000</v>
      </c>
    </row>
    <row r="345" spans="1:9" ht="15">
      <c r="A345" s="58"/>
      <c r="B345" s="70">
        <v>6</v>
      </c>
      <c r="C345" s="45" t="s">
        <v>329</v>
      </c>
      <c r="D345" s="60"/>
      <c r="E345" s="60"/>
      <c r="F345" s="69"/>
      <c r="G345" s="60"/>
      <c r="H345" s="60"/>
      <c r="I345" s="59">
        <f>530000</f>
        <v>530000</v>
      </c>
    </row>
    <row r="346" spans="1:9" ht="15">
      <c r="A346" s="56"/>
      <c r="B346" s="241" t="s">
        <v>5</v>
      </c>
      <c r="C346" s="242"/>
      <c r="D346" s="242"/>
      <c r="E346" s="242"/>
      <c r="F346" s="65"/>
      <c r="G346" s="65"/>
      <c r="H346" s="71"/>
      <c r="I346" s="57">
        <f>SUM(I322:I345)</f>
        <v>13422836</v>
      </c>
    </row>
    <row r="347" spans="1:10" ht="15">
      <c r="A347" s="39"/>
      <c r="B347" s="39"/>
      <c r="C347" s="39"/>
      <c r="D347" s="39"/>
      <c r="E347" s="39"/>
      <c r="F347" s="39" t="s">
        <v>198</v>
      </c>
      <c r="G347" s="39"/>
      <c r="H347" s="39"/>
      <c r="I347" s="39" t="s">
        <v>198</v>
      </c>
      <c r="J347" s="88"/>
    </row>
    <row r="348" spans="1:8" ht="15">
      <c r="A348" s="39"/>
      <c r="B348" s="39"/>
      <c r="C348" s="39"/>
      <c r="D348" s="38"/>
      <c r="E348" s="38"/>
      <c r="G348" s="38" t="s">
        <v>347</v>
      </c>
      <c r="H348" s="38"/>
    </row>
    <row r="349" spans="1:8" ht="15">
      <c r="A349" s="39"/>
      <c r="B349" s="39"/>
      <c r="C349" s="38" t="s">
        <v>199</v>
      </c>
      <c r="D349" s="38"/>
      <c r="E349" s="38"/>
      <c r="G349" s="240" t="s">
        <v>696</v>
      </c>
      <c r="H349" s="240"/>
    </row>
    <row r="350" spans="1:8" ht="15">
      <c r="A350" s="39"/>
      <c r="B350" s="39"/>
      <c r="C350" s="39"/>
      <c r="D350" s="39"/>
      <c r="E350" s="39"/>
      <c r="G350" s="39"/>
      <c r="H350" s="39"/>
    </row>
    <row r="351" spans="1:8" ht="15">
      <c r="A351" s="39"/>
      <c r="B351" s="61"/>
      <c r="C351" s="272" t="s">
        <v>866</v>
      </c>
      <c r="D351" s="39"/>
      <c r="E351" s="39"/>
      <c r="G351" s="270" t="s">
        <v>866</v>
      </c>
      <c r="H351" s="39"/>
    </row>
    <row r="352" spans="1:9" ht="15">
      <c r="A352" s="39"/>
      <c r="B352" s="61"/>
      <c r="C352" s="38" t="s">
        <v>269</v>
      </c>
      <c r="D352" s="62"/>
      <c r="E352" s="62"/>
      <c r="F352" s="240" t="s">
        <v>351</v>
      </c>
      <c r="G352" s="240"/>
      <c r="H352" s="240"/>
      <c r="I352" s="240"/>
    </row>
    <row r="353" spans="6:9" ht="15">
      <c r="F353" s="240"/>
      <c r="G353" s="240"/>
      <c r="H353" s="240"/>
      <c r="I353" s="240"/>
    </row>
    <row r="354" spans="6:9" ht="15">
      <c r="F354" s="240"/>
      <c r="G354" s="240"/>
      <c r="H354" s="240"/>
      <c r="I354" s="240"/>
    </row>
  </sheetData>
  <sheetProtection/>
  <mergeCells count="74">
    <mergeCell ref="A8:B8"/>
    <mergeCell ref="A9:B9"/>
    <mergeCell ref="A10:B10"/>
    <mergeCell ref="E24:F24"/>
    <mergeCell ref="B25:B26"/>
    <mergeCell ref="C25:C26"/>
    <mergeCell ref="D25:D26"/>
    <mergeCell ref="E25:E26"/>
    <mergeCell ref="A69:I69"/>
    <mergeCell ref="A72:C72"/>
    <mergeCell ref="A73:I73"/>
    <mergeCell ref="A75:C75"/>
    <mergeCell ref="A1:F1"/>
    <mergeCell ref="A2:F2"/>
    <mergeCell ref="A3:F3"/>
    <mergeCell ref="A4:F4"/>
    <mergeCell ref="A5:F5"/>
    <mergeCell ref="E52:F52"/>
    <mergeCell ref="E7:F7"/>
    <mergeCell ref="D66:E66"/>
    <mergeCell ref="F66:F68"/>
    <mergeCell ref="G66:H66"/>
    <mergeCell ref="I66:I68"/>
    <mergeCell ref="D67:E67"/>
    <mergeCell ref="G67:H67"/>
    <mergeCell ref="F25:F26"/>
    <mergeCell ref="E55:F55"/>
    <mergeCell ref="E54:F54"/>
    <mergeCell ref="A126:I126"/>
    <mergeCell ref="A128:C128"/>
    <mergeCell ref="A129:I129"/>
    <mergeCell ref="A131:C131"/>
    <mergeCell ref="A76:I76"/>
    <mergeCell ref="A62:I62"/>
    <mergeCell ref="A63:I63"/>
    <mergeCell ref="A64:I64"/>
    <mergeCell ref="A66:A68"/>
    <mergeCell ref="B66:C68"/>
    <mergeCell ref="A262:I262"/>
    <mergeCell ref="A265:C265"/>
    <mergeCell ref="A132:I132"/>
    <mergeCell ref="A85:C85"/>
    <mergeCell ref="A86:I86"/>
    <mergeCell ref="A107:C107"/>
    <mergeCell ref="A108:I108"/>
    <mergeCell ref="A120:C120"/>
    <mergeCell ref="A121:I121"/>
    <mergeCell ref="A125:C125"/>
    <mergeCell ref="A266:I266"/>
    <mergeCell ref="A153:C153"/>
    <mergeCell ref="A154:I154"/>
    <mergeCell ref="A175:C175"/>
    <mergeCell ref="A176:I176"/>
    <mergeCell ref="A200:C200"/>
    <mergeCell ref="A201:I201"/>
    <mergeCell ref="A257:C257"/>
    <mergeCell ref="A258:I258"/>
    <mergeCell ref="A261:C261"/>
    <mergeCell ref="A285:C285"/>
    <mergeCell ref="A286:C286"/>
    <mergeCell ref="A294:I294"/>
    <mergeCell ref="A295:I295"/>
    <mergeCell ref="B297:B298"/>
    <mergeCell ref="C297:H298"/>
    <mergeCell ref="G289:H289"/>
    <mergeCell ref="F292:I292"/>
    <mergeCell ref="F353:I353"/>
    <mergeCell ref="F354:I354"/>
    <mergeCell ref="B317:E317"/>
    <mergeCell ref="B320:B321"/>
    <mergeCell ref="C320:H321"/>
    <mergeCell ref="B346:E346"/>
    <mergeCell ref="G349:H349"/>
    <mergeCell ref="F352:I352"/>
  </mergeCells>
  <printOptions/>
  <pageMargins left="0.11811023622047245" right="0.11811023622047245" top="0.4" bottom="1.08" header="0.31496062992125984" footer="0.31496062992125984"/>
  <pageSetup orientation="portrait" paperSize="5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6"/>
  <sheetViews>
    <sheetView zoomScalePageLayoutView="0" workbookViewId="0" topLeftCell="A291">
      <selection activeCell="C9" sqref="C9"/>
    </sheetView>
  </sheetViews>
  <sheetFormatPr defaultColWidth="11.00390625" defaultRowHeight="15"/>
  <cols>
    <col min="1" max="1" width="5.140625" style="0" bestFit="1" customWidth="1"/>
    <col min="2" max="2" width="4.28125" style="0" bestFit="1" customWidth="1"/>
    <col min="3" max="3" width="30.8515625" style="0" customWidth="1"/>
    <col min="4" max="4" width="18.7109375" style="0" customWidth="1"/>
    <col min="5" max="6" width="20.7109375" style="0" customWidth="1"/>
    <col min="7" max="9" width="16.7109375" style="0" customWidth="1"/>
    <col min="10" max="10" width="14.7109375" style="0" customWidth="1"/>
    <col min="11" max="11" width="12.5742187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803</v>
      </c>
      <c r="F7" s="259"/>
    </row>
    <row r="8" spans="1:6" ht="18.75">
      <c r="A8" s="246" t="s">
        <v>748</v>
      </c>
      <c r="B8" s="246"/>
      <c r="C8" s="136" t="s">
        <v>890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136"/>
      <c r="F20" s="136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784</v>
      </c>
      <c r="C22" s="135"/>
      <c r="D22" s="135"/>
      <c r="E22" s="135"/>
      <c r="F22" s="137"/>
    </row>
    <row r="23" spans="2:6" ht="18.75">
      <c r="B23" s="135" t="s">
        <v>804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805</v>
      </c>
      <c r="D29" s="147"/>
      <c r="E29" s="147"/>
      <c r="F29" s="148">
        <f>'[1]april'!F28</f>
        <v>2049659443</v>
      </c>
    </row>
    <row r="30" spans="1:6" ht="18.75">
      <c r="A30" s="140"/>
      <c r="B30" s="145"/>
      <c r="C30" s="146" t="s">
        <v>806</v>
      </c>
      <c r="D30" s="198">
        <v>133524566</v>
      </c>
      <c r="E30" s="150"/>
      <c r="F30" s="147"/>
    </row>
    <row r="31" spans="1:6" ht="18.75">
      <c r="A31" s="140"/>
      <c r="B31" s="145"/>
      <c r="C31" s="146" t="s">
        <v>807</v>
      </c>
      <c r="D31" s="147"/>
      <c r="E31" s="199">
        <v>196521650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1986662359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805</v>
      </c>
      <c r="D34" s="157"/>
      <c r="E34" s="158"/>
      <c r="F34" s="157">
        <f>'[1]maret'!F33</f>
        <v>2675000</v>
      </c>
    </row>
    <row r="35" spans="1:6" ht="18.75">
      <c r="A35" s="140"/>
      <c r="B35" s="145"/>
      <c r="C35" s="146" t="s">
        <v>806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807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133524566</v>
      </c>
      <c r="E38" s="160">
        <f>E31+E36</f>
        <v>196521650</v>
      </c>
      <c r="F38" s="161">
        <f>F32+F37</f>
        <v>1989337359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805</v>
      </c>
      <c r="D41" s="147"/>
      <c r="E41" s="166"/>
      <c r="F41" s="160">
        <f>'[1]april'!F40</f>
        <v>1221072836</v>
      </c>
    </row>
    <row r="42" spans="1:6" ht="18.75">
      <c r="A42" s="167"/>
      <c r="B42" s="145"/>
      <c r="C42" s="146" t="s">
        <v>806</v>
      </c>
      <c r="D42" s="197">
        <v>45449767</v>
      </c>
      <c r="E42" s="168"/>
      <c r="F42" s="166"/>
    </row>
    <row r="43" spans="1:6" ht="18.75">
      <c r="A43" s="140"/>
      <c r="B43" s="145"/>
      <c r="C43" s="146" t="s">
        <v>807</v>
      </c>
      <c r="D43" s="150"/>
      <c r="E43" s="196">
        <v>68197930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1198324673</v>
      </c>
    </row>
    <row r="45" spans="1:6" ht="18.75">
      <c r="A45" s="140"/>
      <c r="B45" s="145"/>
      <c r="C45" s="171" t="s">
        <v>808</v>
      </c>
      <c r="D45" s="172">
        <f>D30+D42</f>
        <v>178974333</v>
      </c>
      <c r="E45" s="172">
        <f>E31+E43</f>
        <v>264719580</v>
      </c>
      <c r="F45" s="173">
        <f>F38+F44</f>
        <v>3187662032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79"/>
    </row>
    <row r="49" spans="1:6" ht="18.75">
      <c r="A49" s="175"/>
      <c r="B49" s="176" t="s">
        <v>773</v>
      </c>
      <c r="C49" s="137"/>
      <c r="D49" s="177"/>
      <c r="E49" s="137"/>
      <c r="F49" s="180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3" spans="1:9" ht="22.5">
      <c r="A63" s="206" t="s">
        <v>0</v>
      </c>
      <c r="B63" s="206"/>
      <c r="C63" s="206"/>
      <c r="D63" s="206"/>
      <c r="E63" s="206"/>
      <c r="F63" s="206"/>
      <c r="G63" s="206"/>
      <c r="H63" s="206"/>
      <c r="I63" s="206"/>
    </row>
    <row r="64" spans="1:9" ht="22.5">
      <c r="A64" s="206" t="s">
        <v>1</v>
      </c>
      <c r="B64" s="206"/>
      <c r="C64" s="206"/>
      <c r="D64" s="206"/>
      <c r="E64" s="206"/>
      <c r="F64" s="206"/>
      <c r="G64" s="206"/>
      <c r="H64" s="206"/>
      <c r="I64" s="206"/>
    </row>
    <row r="65" spans="1:9" ht="20.25">
      <c r="A65" s="207" t="s">
        <v>405</v>
      </c>
      <c r="B65" s="207"/>
      <c r="C65" s="207"/>
      <c r="D65" s="207"/>
      <c r="E65" s="207"/>
      <c r="F65" s="207"/>
      <c r="G65" s="207"/>
      <c r="H65" s="207"/>
      <c r="I65" s="207"/>
    </row>
    <row r="66" spans="1:9" ht="15.75" thickBot="1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Top="1">
      <c r="A67" s="208" t="s">
        <v>2</v>
      </c>
      <c r="B67" s="211" t="s">
        <v>3</v>
      </c>
      <c r="C67" s="267"/>
      <c r="D67" s="217" t="s">
        <v>4</v>
      </c>
      <c r="E67" s="218"/>
      <c r="F67" s="219" t="s">
        <v>5</v>
      </c>
      <c r="G67" s="217" t="s">
        <v>4</v>
      </c>
      <c r="H67" s="218"/>
      <c r="I67" s="219" t="s">
        <v>5</v>
      </c>
    </row>
    <row r="68" spans="1:9" ht="15">
      <c r="A68" s="209"/>
      <c r="B68" s="213"/>
      <c r="C68" s="268"/>
      <c r="D68" s="222" t="s">
        <v>345</v>
      </c>
      <c r="E68" s="223"/>
      <c r="F68" s="220"/>
      <c r="G68" s="222" t="s">
        <v>379</v>
      </c>
      <c r="H68" s="223"/>
      <c r="I68" s="220"/>
    </row>
    <row r="69" spans="1:12" ht="15">
      <c r="A69" s="210"/>
      <c r="B69" s="215"/>
      <c r="C69" s="269"/>
      <c r="D69" s="2" t="s">
        <v>6</v>
      </c>
      <c r="E69" s="2" t="s">
        <v>7</v>
      </c>
      <c r="F69" s="221"/>
      <c r="G69" s="2" t="s">
        <v>6</v>
      </c>
      <c r="H69" s="2" t="s">
        <v>7</v>
      </c>
      <c r="I69" s="221"/>
      <c r="L69" t="s">
        <v>198</v>
      </c>
    </row>
    <row r="70" spans="1:9" ht="15">
      <c r="A70" s="230" t="s">
        <v>8</v>
      </c>
      <c r="B70" s="231"/>
      <c r="C70" s="231"/>
      <c r="D70" s="231"/>
      <c r="E70" s="231"/>
      <c r="F70" s="231"/>
      <c r="G70" s="231"/>
      <c r="H70" s="231"/>
      <c r="I70" s="232"/>
    </row>
    <row r="71" spans="1:9" ht="15">
      <c r="A71" s="80">
        <v>1</v>
      </c>
      <c r="B71" s="3">
        <v>1</v>
      </c>
      <c r="C71" s="4" t="s">
        <v>9</v>
      </c>
      <c r="D71" s="5"/>
      <c r="E71" s="5"/>
      <c r="F71" s="6">
        <f>SUM(D71:E71)</f>
        <v>0</v>
      </c>
      <c r="G71" s="5"/>
      <c r="H71" s="5"/>
      <c r="I71" s="6">
        <f>SUM(G71:H71)</f>
        <v>0</v>
      </c>
    </row>
    <row r="72" spans="1:9" ht="15">
      <c r="A72" s="80">
        <v>2</v>
      </c>
      <c r="B72" s="3">
        <v>2</v>
      </c>
      <c r="C72" s="4" t="s">
        <v>10</v>
      </c>
      <c r="D72" s="5"/>
      <c r="E72" s="5"/>
      <c r="F72" s="6">
        <f>SUM(D72:E72)</f>
        <v>0</v>
      </c>
      <c r="G72" s="5"/>
      <c r="H72" s="5"/>
      <c r="I72" s="6">
        <f>SUM(G72:H72)</f>
        <v>0</v>
      </c>
    </row>
    <row r="73" spans="1:9" ht="15">
      <c r="A73" s="224" t="s">
        <v>5</v>
      </c>
      <c r="B73" s="225"/>
      <c r="C73" s="225"/>
      <c r="D73" s="7">
        <f>SUM(D71:D72)</f>
        <v>0</v>
      </c>
      <c r="E73" s="8">
        <f>SUM(E71:E72)</f>
        <v>0</v>
      </c>
      <c r="F73" s="7">
        <f>SUM(D73:E73)</f>
        <v>0</v>
      </c>
      <c r="G73" s="7">
        <f>SUM(G71:G72)</f>
        <v>0</v>
      </c>
      <c r="H73" s="8">
        <f>SUM(H71:H72)</f>
        <v>0</v>
      </c>
      <c r="I73" s="7">
        <f>SUM(G73:H73)</f>
        <v>0</v>
      </c>
    </row>
    <row r="74" spans="1:9" ht="15">
      <c r="A74" s="227" t="s">
        <v>11</v>
      </c>
      <c r="B74" s="228"/>
      <c r="C74" s="228"/>
      <c r="D74" s="228"/>
      <c r="E74" s="228"/>
      <c r="F74" s="228"/>
      <c r="G74" s="228"/>
      <c r="H74" s="228"/>
      <c r="I74" s="229"/>
    </row>
    <row r="75" spans="1:9" ht="15">
      <c r="A75" s="9">
        <v>3</v>
      </c>
      <c r="B75" s="9">
        <v>1</v>
      </c>
      <c r="C75" s="10" t="s">
        <v>12</v>
      </c>
      <c r="D75" s="5">
        <v>2111614</v>
      </c>
      <c r="E75" s="5"/>
      <c r="F75" s="6">
        <f>SUM(D75:E75)</f>
        <v>2111614</v>
      </c>
      <c r="G75" s="5">
        <v>2080214</v>
      </c>
      <c r="H75" s="5"/>
      <c r="I75" s="6">
        <f>SUM(G75:H75)</f>
        <v>2080214</v>
      </c>
    </row>
    <row r="76" spans="1:9" ht="15">
      <c r="A76" s="224" t="s">
        <v>5</v>
      </c>
      <c r="B76" s="225"/>
      <c r="C76" s="225"/>
      <c r="D76" s="7">
        <f>SUM(D74:D75)</f>
        <v>2111614</v>
      </c>
      <c r="E76" s="8">
        <f>SUM(E74:E75)</f>
        <v>0</v>
      </c>
      <c r="F76" s="7">
        <f>SUM(D76:E76)</f>
        <v>2111614</v>
      </c>
      <c r="G76" s="7">
        <f>SUM(G74:G75)</f>
        <v>2080214</v>
      </c>
      <c r="H76" s="8">
        <f>SUM(H74:H75)</f>
        <v>0</v>
      </c>
      <c r="I76" s="7">
        <f>SUM(G76:H76)</f>
        <v>2080214</v>
      </c>
    </row>
    <row r="77" spans="1:9" ht="15">
      <c r="A77" s="224" t="s">
        <v>13</v>
      </c>
      <c r="B77" s="225"/>
      <c r="C77" s="225"/>
      <c r="D77" s="225"/>
      <c r="E77" s="225"/>
      <c r="F77" s="225"/>
      <c r="G77" s="225"/>
      <c r="H77" s="225"/>
      <c r="I77" s="226"/>
    </row>
    <row r="78" spans="1:9" ht="15">
      <c r="A78" s="11">
        <v>4</v>
      </c>
      <c r="B78" s="12">
        <v>1</v>
      </c>
      <c r="C78" s="95" t="s">
        <v>312</v>
      </c>
      <c r="D78" s="5">
        <v>2345000</v>
      </c>
      <c r="E78" s="5">
        <v>509000</v>
      </c>
      <c r="F78" s="6">
        <f aca="true" t="shared" si="0" ref="F78:F86">SUM(D78:E78)</f>
        <v>2854000</v>
      </c>
      <c r="G78" s="5">
        <f>2345000</f>
        <v>2345000</v>
      </c>
      <c r="H78" s="5">
        <v>509000</v>
      </c>
      <c r="I78" s="6">
        <f aca="true" t="shared" si="1" ref="I78:I85">SUM(G78:H78)</f>
        <v>2854000</v>
      </c>
    </row>
    <row r="79" spans="1:9" ht="15">
      <c r="A79" s="11">
        <v>5</v>
      </c>
      <c r="B79" s="12">
        <v>2</v>
      </c>
      <c r="C79" s="13" t="s">
        <v>234</v>
      </c>
      <c r="D79" s="5">
        <v>1720600</v>
      </c>
      <c r="E79" s="5">
        <v>220550</v>
      </c>
      <c r="F79" s="6">
        <f t="shared" si="0"/>
        <v>1941150</v>
      </c>
      <c r="G79" s="5">
        <v>1737689</v>
      </c>
      <c r="H79" s="5">
        <v>220550</v>
      </c>
      <c r="I79" s="6">
        <f t="shared" si="1"/>
        <v>1958239</v>
      </c>
    </row>
    <row r="80" spans="1:9" ht="15">
      <c r="A80" s="11">
        <v>6</v>
      </c>
      <c r="B80" s="12">
        <v>3</v>
      </c>
      <c r="C80" s="13" t="s">
        <v>15</v>
      </c>
      <c r="D80" s="5">
        <v>2521400</v>
      </c>
      <c r="E80" s="14">
        <v>112100</v>
      </c>
      <c r="F80" s="6">
        <f t="shared" si="0"/>
        <v>2633500</v>
      </c>
      <c r="G80" s="5">
        <v>2527350</v>
      </c>
      <c r="H80" s="14">
        <v>112100</v>
      </c>
      <c r="I80" s="6">
        <f t="shared" si="1"/>
        <v>2639450</v>
      </c>
    </row>
    <row r="81" spans="1:9" ht="15">
      <c r="A81" s="11">
        <v>7</v>
      </c>
      <c r="B81" s="12">
        <v>4</v>
      </c>
      <c r="C81" s="13" t="s">
        <v>16</v>
      </c>
      <c r="D81" s="5"/>
      <c r="E81" s="5"/>
      <c r="F81" s="6">
        <f t="shared" si="0"/>
        <v>0</v>
      </c>
      <c r="G81" s="5"/>
      <c r="H81" s="5"/>
      <c r="I81" s="6">
        <f t="shared" si="1"/>
        <v>0</v>
      </c>
    </row>
    <row r="82" spans="1:9" ht="15">
      <c r="A82" s="11">
        <v>8</v>
      </c>
      <c r="B82" s="12">
        <v>5</v>
      </c>
      <c r="C82" s="13" t="s">
        <v>17</v>
      </c>
      <c r="D82" s="5"/>
      <c r="E82" s="5"/>
      <c r="F82" s="6">
        <f t="shared" si="0"/>
        <v>0</v>
      </c>
      <c r="G82" s="5"/>
      <c r="H82" s="5"/>
      <c r="I82" s="6">
        <f t="shared" si="1"/>
        <v>0</v>
      </c>
    </row>
    <row r="83" spans="1:9" ht="15">
      <c r="A83" s="11">
        <v>9</v>
      </c>
      <c r="B83" s="12">
        <v>6</v>
      </c>
      <c r="C83" s="13" t="s">
        <v>18</v>
      </c>
      <c r="D83" s="5"/>
      <c r="E83" s="5"/>
      <c r="F83" s="6">
        <f t="shared" si="0"/>
        <v>0</v>
      </c>
      <c r="G83" s="5"/>
      <c r="H83" s="5"/>
      <c r="I83" s="6">
        <f t="shared" si="1"/>
        <v>0</v>
      </c>
    </row>
    <row r="84" spans="1:9" ht="15">
      <c r="A84" s="11">
        <v>10</v>
      </c>
      <c r="B84" s="12">
        <v>7</v>
      </c>
      <c r="C84" s="15" t="s">
        <v>19</v>
      </c>
      <c r="D84" s="5">
        <v>229108</v>
      </c>
      <c r="E84" s="5">
        <v>63000</v>
      </c>
      <c r="F84" s="6">
        <f t="shared" si="0"/>
        <v>292108</v>
      </c>
      <c r="G84" s="5">
        <v>297278</v>
      </c>
      <c r="H84" s="5">
        <v>58000</v>
      </c>
      <c r="I84" s="6">
        <f t="shared" si="1"/>
        <v>355278</v>
      </c>
    </row>
    <row r="85" spans="1:9" ht="15">
      <c r="A85" s="90">
        <v>11</v>
      </c>
      <c r="B85" s="12">
        <v>8</v>
      </c>
      <c r="C85" s="13" t="s">
        <v>307</v>
      </c>
      <c r="D85" s="5">
        <v>2376406</v>
      </c>
      <c r="E85" s="5">
        <v>365000</v>
      </c>
      <c r="F85" s="6">
        <f t="shared" si="0"/>
        <v>2741406</v>
      </c>
      <c r="G85" s="5"/>
      <c r="H85" s="5">
        <v>365000</v>
      </c>
      <c r="I85" s="6">
        <f t="shared" si="1"/>
        <v>365000</v>
      </c>
    </row>
    <row r="86" spans="1:11" ht="15">
      <c r="A86" s="224" t="s">
        <v>5</v>
      </c>
      <c r="B86" s="225"/>
      <c r="C86" s="225"/>
      <c r="D86" s="7">
        <f>SUM(D78:D85)</f>
        <v>9192514</v>
      </c>
      <c r="E86" s="7">
        <f>SUM(E78:E85)</f>
        <v>1269650</v>
      </c>
      <c r="F86" s="7">
        <f t="shared" si="0"/>
        <v>10462164</v>
      </c>
      <c r="G86" s="7">
        <f>SUM(G78:G85)</f>
        <v>6907317</v>
      </c>
      <c r="H86" s="7">
        <f>SUM(H78:H85)</f>
        <v>1264650</v>
      </c>
      <c r="I86" s="7">
        <f>SUM(G86:H86)</f>
        <v>8171967</v>
      </c>
      <c r="K86" s="16"/>
    </row>
    <row r="87" spans="1:9" ht="15">
      <c r="A87" s="224" t="s">
        <v>20</v>
      </c>
      <c r="B87" s="225"/>
      <c r="C87" s="225"/>
      <c r="D87" s="225"/>
      <c r="E87" s="225"/>
      <c r="F87" s="225"/>
      <c r="G87" s="225"/>
      <c r="H87" s="225"/>
      <c r="I87" s="226"/>
    </row>
    <row r="88" spans="1:9" ht="15">
      <c r="A88" s="17">
        <v>12</v>
      </c>
      <c r="B88" s="15">
        <v>1</v>
      </c>
      <c r="C88" s="13" t="s">
        <v>255</v>
      </c>
      <c r="D88" s="5">
        <v>2356415</v>
      </c>
      <c r="E88" s="18">
        <v>1368215</v>
      </c>
      <c r="F88" s="6">
        <f>SUM(D88:E88)</f>
        <v>3724630</v>
      </c>
      <c r="G88" s="5">
        <v>2249663</v>
      </c>
      <c r="H88" s="18">
        <v>1337215</v>
      </c>
      <c r="I88" s="6">
        <f>SUM(G88:H88)</f>
        <v>3586878</v>
      </c>
    </row>
    <row r="89" spans="1:9" ht="15">
      <c r="A89" s="17">
        <v>13</v>
      </c>
      <c r="B89" s="15">
        <v>2</v>
      </c>
      <c r="C89" s="13" t="s">
        <v>21</v>
      </c>
      <c r="D89" s="5">
        <v>3827163</v>
      </c>
      <c r="E89" s="5">
        <v>5055000</v>
      </c>
      <c r="F89" s="6">
        <f aca="true" t="shared" si="2" ref="F89:F100">SUM(D89:E89)</f>
        <v>8882163</v>
      </c>
      <c r="G89" s="5">
        <v>3833045</v>
      </c>
      <c r="H89" s="5">
        <v>5050000</v>
      </c>
      <c r="I89" s="6">
        <f aca="true" t="shared" si="3" ref="I89:I107">SUM(G89:H89)</f>
        <v>8883045</v>
      </c>
    </row>
    <row r="90" spans="1:9" ht="15">
      <c r="A90" s="17">
        <v>14</v>
      </c>
      <c r="B90" s="15">
        <v>3</v>
      </c>
      <c r="C90" s="13" t="s">
        <v>22</v>
      </c>
      <c r="D90" s="5"/>
      <c r="E90" s="5"/>
      <c r="F90" s="6">
        <f t="shared" si="2"/>
        <v>0</v>
      </c>
      <c r="G90" s="5">
        <v>2043750</v>
      </c>
      <c r="H90" s="5">
        <v>562000</v>
      </c>
      <c r="I90" s="6">
        <f t="shared" si="3"/>
        <v>2605750</v>
      </c>
    </row>
    <row r="91" spans="1:9" ht="15">
      <c r="A91" s="17">
        <v>15</v>
      </c>
      <c r="B91" s="15">
        <v>4</v>
      </c>
      <c r="C91" s="13" t="s">
        <v>253</v>
      </c>
      <c r="D91" s="5">
        <v>675786</v>
      </c>
      <c r="E91" s="5">
        <v>758785</v>
      </c>
      <c r="F91" s="6">
        <f t="shared" si="2"/>
        <v>1434571</v>
      </c>
      <c r="G91" s="5">
        <v>675786</v>
      </c>
      <c r="H91" s="5">
        <v>758785</v>
      </c>
      <c r="I91" s="6">
        <f t="shared" si="3"/>
        <v>1434571</v>
      </c>
    </row>
    <row r="92" spans="1:9" ht="15">
      <c r="A92" s="17">
        <v>16</v>
      </c>
      <c r="B92" s="15">
        <v>5</v>
      </c>
      <c r="C92" s="13" t="s">
        <v>24</v>
      </c>
      <c r="D92" s="5">
        <v>2526900</v>
      </c>
      <c r="E92" s="5">
        <v>90000</v>
      </c>
      <c r="F92" s="6">
        <f t="shared" si="2"/>
        <v>2616900</v>
      </c>
      <c r="G92" s="5">
        <v>2113600</v>
      </c>
      <c r="H92" s="5">
        <v>85000</v>
      </c>
      <c r="I92" s="6">
        <f t="shared" si="3"/>
        <v>2198600</v>
      </c>
    </row>
    <row r="93" spans="1:9" ht="15">
      <c r="A93" s="17">
        <v>17</v>
      </c>
      <c r="B93" s="15">
        <v>6</v>
      </c>
      <c r="C93" s="13" t="s">
        <v>25</v>
      </c>
      <c r="D93" s="5">
        <v>2040000</v>
      </c>
      <c r="E93" s="5">
        <v>476000</v>
      </c>
      <c r="F93" s="6">
        <f t="shared" si="2"/>
        <v>2516000</v>
      </c>
      <c r="G93" s="5">
        <v>2040000</v>
      </c>
      <c r="H93" s="5">
        <v>476000</v>
      </c>
      <c r="I93" s="6">
        <f t="shared" si="3"/>
        <v>2516000</v>
      </c>
    </row>
    <row r="94" spans="1:9" ht="15">
      <c r="A94" s="17">
        <v>18</v>
      </c>
      <c r="B94" s="15">
        <v>7</v>
      </c>
      <c r="C94" s="95" t="s">
        <v>26</v>
      </c>
      <c r="D94" s="5">
        <f>3913750+1195500</f>
        <v>5109250</v>
      </c>
      <c r="E94" s="5">
        <f>182350+300000</f>
        <v>482350</v>
      </c>
      <c r="F94" s="6">
        <f t="shared" si="2"/>
        <v>5591600</v>
      </c>
      <c r="G94" s="5">
        <f>3946700+1195500</f>
        <v>5142200</v>
      </c>
      <c r="H94" s="5">
        <f>182550+300000</f>
        <v>482550</v>
      </c>
      <c r="I94" s="6">
        <f t="shared" si="3"/>
        <v>5624750</v>
      </c>
    </row>
    <row r="95" spans="1:9" ht="15">
      <c r="A95" s="17">
        <v>19</v>
      </c>
      <c r="B95" s="15">
        <v>8</v>
      </c>
      <c r="C95" s="95" t="s">
        <v>242</v>
      </c>
      <c r="D95" s="5">
        <v>2560100</v>
      </c>
      <c r="E95" s="5"/>
      <c r="F95" s="6">
        <f t="shared" si="2"/>
        <v>2560100</v>
      </c>
      <c r="G95" s="5">
        <v>2560100</v>
      </c>
      <c r="H95" s="5"/>
      <c r="I95" s="6">
        <f t="shared" si="3"/>
        <v>2560100</v>
      </c>
    </row>
    <row r="96" spans="1:9" ht="15">
      <c r="A96" s="17">
        <v>20</v>
      </c>
      <c r="B96" s="15">
        <v>9</v>
      </c>
      <c r="C96" s="95" t="s">
        <v>28</v>
      </c>
      <c r="D96" s="5">
        <v>860000</v>
      </c>
      <c r="E96" s="5">
        <v>152000</v>
      </c>
      <c r="F96" s="6">
        <f t="shared" si="2"/>
        <v>1012000</v>
      </c>
      <c r="G96" s="5">
        <v>860000</v>
      </c>
      <c r="H96" s="5">
        <v>152000</v>
      </c>
      <c r="I96" s="6">
        <f t="shared" si="3"/>
        <v>1012000</v>
      </c>
    </row>
    <row r="97" spans="1:9" ht="15">
      <c r="A97" s="17">
        <v>21</v>
      </c>
      <c r="B97" s="15">
        <v>10</v>
      </c>
      <c r="C97" s="95" t="s">
        <v>203</v>
      </c>
      <c r="D97" s="5">
        <v>2772879</v>
      </c>
      <c r="E97" s="5">
        <v>1470000</v>
      </c>
      <c r="F97" s="6">
        <f t="shared" si="2"/>
        <v>4242879</v>
      </c>
      <c r="G97" s="5">
        <v>2792909</v>
      </c>
      <c r="H97" s="5">
        <v>1450000</v>
      </c>
      <c r="I97" s="6">
        <f t="shared" si="3"/>
        <v>4242909</v>
      </c>
    </row>
    <row r="98" spans="1:9" ht="15">
      <c r="A98" s="17">
        <v>22</v>
      </c>
      <c r="B98" s="15">
        <v>11</v>
      </c>
      <c r="C98" s="95" t="s">
        <v>244</v>
      </c>
      <c r="D98" s="5">
        <v>1451145</v>
      </c>
      <c r="E98" s="5">
        <v>389133</v>
      </c>
      <c r="F98" s="6">
        <f t="shared" si="2"/>
        <v>1840278</v>
      </c>
      <c r="G98" s="5">
        <v>1451145</v>
      </c>
      <c r="H98" s="5">
        <v>389133</v>
      </c>
      <c r="I98" s="6">
        <f t="shared" si="3"/>
        <v>1840278</v>
      </c>
    </row>
    <row r="99" spans="1:9" ht="15">
      <c r="A99" s="17">
        <v>23</v>
      </c>
      <c r="B99" s="15">
        <v>12</v>
      </c>
      <c r="C99" s="95" t="s">
        <v>31</v>
      </c>
      <c r="D99" s="5"/>
      <c r="E99" s="18"/>
      <c r="F99" s="6">
        <f t="shared" si="2"/>
        <v>0</v>
      </c>
      <c r="G99" s="5"/>
      <c r="H99" s="18"/>
      <c r="I99" s="6">
        <f t="shared" si="3"/>
        <v>0</v>
      </c>
    </row>
    <row r="100" spans="1:9" ht="15">
      <c r="A100" s="17">
        <v>24</v>
      </c>
      <c r="B100" s="15">
        <v>13</v>
      </c>
      <c r="C100" s="95" t="s">
        <v>32</v>
      </c>
      <c r="D100" s="5"/>
      <c r="E100" s="5"/>
      <c r="F100" s="6">
        <f t="shared" si="2"/>
        <v>0</v>
      </c>
      <c r="G100" s="5"/>
      <c r="H100" s="5"/>
      <c r="I100" s="6">
        <f t="shared" si="3"/>
        <v>0</v>
      </c>
    </row>
    <row r="101" spans="1:9" ht="15">
      <c r="A101" s="17">
        <v>25</v>
      </c>
      <c r="B101" s="15">
        <v>14</v>
      </c>
      <c r="C101" s="95" t="s">
        <v>229</v>
      </c>
      <c r="D101" s="5"/>
      <c r="E101" s="5"/>
      <c r="F101" s="6">
        <f aca="true" t="shared" si="4" ref="F101:F107">SUM(D101:E101)</f>
        <v>0</v>
      </c>
      <c r="G101" s="5"/>
      <c r="H101" s="5"/>
      <c r="I101" s="6">
        <f t="shared" si="3"/>
        <v>0</v>
      </c>
    </row>
    <row r="102" spans="1:9" ht="15">
      <c r="A102" s="17">
        <v>26</v>
      </c>
      <c r="B102" s="15">
        <v>15</v>
      </c>
      <c r="C102" s="95" t="s">
        <v>230</v>
      </c>
      <c r="D102" s="5">
        <v>865000</v>
      </c>
      <c r="E102" s="5">
        <v>1699100</v>
      </c>
      <c r="F102" s="6">
        <f t="shared" si="4"/>
        <v>2564100</v>
      </c>
      <c r="G102" s="5">
        <v>865000</v>
      </c>
      <c r="H102" s="5">
        <v>1638600</v>
      </c>
      <c r="I102" s="6">
        <f t="shared" si="3"/>
        <v>2503600</v>
      </c>
    </row>
    <row r="103" spans="1:9" ht="15">
      <c r="A103" s="17">
        <v>27</v>
      </c>
      <c r="B103" s="15">
        <v>16</v>
      </c>
      <c r="C103" s="95" t="s">
        <v>252</v>
      </c>
      <c r="D103" s="5">
        <v>1303418</v>
      </c>
      <c r="E103" s="5">
        <v>25000</v>
      </c>
      <c r="F103" s="6">
        <f t="shared" si="4"/>
        <v>1328418</v>
      </c>
      <c r="G103" s="5">
        <v>1303418</v>
      </c>
      <c r="H103" s="5">
        <v>25000</v>
      </c>
      <c r="I103" s="6">
        <f t="shared" si="3"/>
        <v>1328418</v>
      </c>
    </row>
    <row r="104" spans="1:9" ht="15">
      <c r="A104" s="17">
        <v>28</v>
      </c>
      <c r="B104" s="15">
        <v>17</v>
      </c>
      <c r="C104" s="95" t="s">
        <v>313</v>
      </c>
      <c r="D104" s="5">
        <v>422000</v>
      </c>
      <c r="E104" s="5">
        <v>525000</v>
      </c>
      <c r="F104" s="6">
        <f t="shared" si="4"/>
        <v>947000</v>
      </c>
      <c r="G104" s="5"/>
      <c r="H104" s="5"/>
      <c r="I104" s="6">
        <f t="shared" si="3"/>
        <v>0</v>
      </c>
    </row>
    <row r="105" spans="1:9" ht="15">
      <c r="A105" s="17">
        <v>29</v>
      </c>
      <c r="B105" s="15">
        <v>18</v>
      </c>
      <c r="C105" s="96" t="s">
        <v>240</v>
      </c>
      <c r="D105" s="5">
        <v>3306250</v>
      </c>
      <c r="E105" s="5"/>
      <c r="F105" s="6">
        <f t="shared" si="4"/>
        <v>3306250</v>
      </c>
      <c r="G105" s="5">
        <v>3308850</v>
      </c>
      <c r="H105" s="5"/>
      <c r="I105" s="6">
        <f t="shared" si="3"/>
        <v>3308850</v>
      </c>
    </row>
    <row r="106" spans="1:9" ht="15">
      <c r="A106" s="17">
        <v>30</v>
      </c>
      <c r="B106" s="15">
        <v>19</v>
      </c>
      <c r="C106" s="96" t="s">
        <v>243</v>
      </c>
      <c r="D106" s="5">
        <v>482855</v>
      </c>
      <c r="E106" s="5">
        <v>773450</v>
      </c>
      <c r="F106" s="6">
        <f t="shared" si="4"/>
        <v>1256305</v>
      </c>
      <c r="G106" s="5">
        <v>489505</v>
      </c>
      <c r="H106" s="5">
        <v>772450</v>
      </c>
      <c r="I106" s="6">
        <f t="shared" si="3"/>
        <v>1261955</v>
      </c>
    </row>
    <row r="107" spans="1:9" ht="15">
      <c r="A107" s="17">
        <v>31</v>
      </c>
      <c r="B107" s="15">
        <v>20</v>
      </c>
      <c r="C107" s="96" t="s">
        <v>311</v>
      </c>
      <c r="D107" s="5">
        <v>769228</v>
      </c>
      <c r="E107" s="5">
        <v>116000</v>
      </c>
      <c r="F107" s="6">
        <f t="shared" si="4"/>
        <v>885228</v>
      </c>
      <c r="G107" s="5">
        <v>769228</v>
      </c>
      <c r="H107" s="5">
        <v>116000</v>
      </c>
      <c r="I107" s="6">
        <f t="shared" si="3"/>
        <v>885228</v>
      </c>
    </row>
    <row r="108" spans="1:9" ht="15">
      <c r="A108" s="224" t="s">
        <v>5</v>
      </c>
      <c r="B108" s="225"/>
      <c r="C108" s="225"/>
      <c r="D108" s="7">
        <f>SUM(D88:D107)</f>
        <v>31328389</v>
      </c>
      <c r="E108" s="7">
        <f>SUM(E88:E107)</f>
        <v>13380033</v>
      </c>
      <c r="F108" s="7">
        <f>SUM(D108:E108)</f>
        <v>44708422</v>
      </c>
      <c r="G108" s="7">
        <f>SUM(G88:G107)</f>
        <v>32498199</v>
      </c>
      <c r="H108" s="7">
        <f>SUM(H88:H107)</f>
        <v>13294733</v>
      </c>
      <c r="I108" s="7">
        <f>SUM(G108:H108)</f>
        <v>45792932</v>
      </c>
    </row>
    <row r="109" spans="1:9" ht="15">
      <c r="A109" s="224" t="s">
        <v>47</v>
      </c>
      <c r="B109" s="225"/>
      <c r="C109" s="225"/>
      <c r="D109" s="225"/>
      <c r="E109" s="225"/>
      <c r="F109" s="225"/>
      <c r="G109" s="225"/>
      <c r="H109" s="225"/>
      <c r="I109" s="226"/>
    </row>
    <row r="110" spans="1:9" ht="15">
      <c r="A110" s="15">
        <v>32</v>
      </c>
      <c r="B110" s="15">
        <v>1</v>
      </c>
      <c r="C110" s="15" t="s">
        <v>48</v>
      </c>
      <c r="D110" s="5">
        <v>900000</v>
      </c>
      <c r="E110" s="5">
        <v>200000</v>
      </c>
      <c r="F110" s="6">
        <f>SUM(D110:E110)</f>
        <v>1100000</v>
      </c>
      <c r="G110" s="5">
        <v>900000</v>
      </c>
      <c r="H110" s="5">
        <v>200000</v>
      </c>
      <c r="I110" s="6">
        <f>SUM(G110:H110)</f>
        <v>1100000</v>
      </c>
    </row>
    <row r="111" spans="1:9" ht="15">
      <c r="A111" s="224" t="s">
        <v>42</v>
      </c>
      <c r="B111" s="225"/>
      <c r="C111" s="225"/>
      <c r="D111" s="7">
        <f>D110</f>
        <v>900000</v>
      </c>
      <c r="E111" s="7">
        <f>E110</f>
        <v>200000</v>
      </c>
      <c r="F111" s="7">
        <f>SUM(D111:E111)</f>
        <v>1100000</v>
      </c>
      <c r="G111" s="7">
        <f>G110</f>
        <v>900000</v>
      </c>
      <c r="H111" s="7">
        <f>H110</f>
        <v>200000</v>
      </c>
      <c r="I111" s="7">
        <f>SUM(G111:H111)</f>
        <v>1100000</v>
      </c>
    </row>
    <row r="112" spans="1:9" ht="15">
      <c r="A112" s="224" t="s">
        <v>49</v>
      </c>
      <c r="B112" s="225"/>
      <c r="C112" s="225"/>
      <c r="D112" s="225"/>
      <c r="E112" s="225"/>
      <c r="F112" s="225"/>
      <c r="G112" s="225"/>
      <c r="H112" s="225"/>
      <c r="I112" s="226"/>
    </row>
    <row r="113" spans="1:9" ht="15">
      <c r="A113" s="15">
        <v>33</v>
      </c>
      <c r="B113" s="15">
        <v>1</v>
      </c>
      <c r="C113" s="19" t="s">
        <v>50</v>
      </c>
      <c r="D113" s="5">
        <v>1800720</v>
      </c>
      <c r="E113" s="5">
        <v>509150</v>
      </c>
      <c r="F113" s="6">
        <f>SUM(D113:E113)</f>
        <v>2309870</v>
      </c>
      <c r="G113" s="5">
        <v>1804173</v>
      </c>
      <c r="H113" s="5">
        <v>509150</v>
      </c>
      <c r="I113" s="6">
        <f>SUM(G113:H113)</f>
        <v>2313323</v>
      </c>
    </row>
    <row r="114" spans="1:9" ht="15">
      <c r="A114" s="224" t="s">
        <v>42</v>
      </c>
      <c r="B114" s="225"/>
      <c r="C114" s="225"/>
      <c r="D114" s="7">
        <f>D113</f>
        <v>1800720</v>
      </c>
      <c r="E114" s="7">
        <f>E113</f>
        <v>509150</v>
      </c>
      <c r="F114" s="7">
        <f>SUM(D114:E114)</f>
        <v>2309870</v>
      </c>
      <c r="G114" s="7">
        <f>G113</f>
        <v>1804173</v>
      </c>
      <c r="H114" s="7">
        <f>H113</f>
        <v>509150</v>
      </c>
      <c r="I114" s="7">
        <f>SUM(G114:H114)</f>
        <v>2313323</v>
      </c>
    </row>
    <row r="115" spans="1:9" ht="15">
      <c r="A115" s="224" t="s">
        <v>51</v>
      </c>
      <c r="B115" s="225"/>
      <c r="C115" s="225"/>
      <c r="D115" s="225"/>
      <c r="E115" s="225"/>
      <c r="F115" s="225"/>
      <c r="G115" s="225"/>
      <c r="H115" s="225"/>
      <c r="I115" s="226"/>
    </row>
    <row r="116" spans="1:9" ht="15">
      <c r="A116" s="15">
        <v>34</v>
      </c>
      <c r="B116" s="15">
        <v>1</v>
      </c>
      <c r="C116" s="19" t="s">
        <v>52</v>
      </c>
      <c r="D116" s="5">
        <v>1657000</v>
      </c>
      <c r="E116" s="5">
        <v>649500</v>
      </c>
      <c r="F116" s="6">
        <f>SUM(D116:E116)</f>
        <v>2306500</v>
      </c>
      <c r="G116" s="5">
        <v>1692000</v>
      </c>
      <c r="H116" s="5">
        <v>649500</v>
      </c>
      <c r="I116" s="6">
        <f>SUM(G116:H116)</f>
        <v>2341500</v>
      </c>
    </row>
    <row r="117" spans="1:9" ht="15">
      <c r="A117" s="15">
        <v>35</v>
      </c>
      <c r="B117" s="15">
        <v>2</v>
      </c>
      <c r="C117" s="19" t="s">
        <v>53</v>
      </c>
      <c r="D117" s="5">
        <v>244000</v>
      </c>
      <c r="E117" s="5">
        <v>555000</v>
      </c>
      <c r="F117" s="6">
        <f aca="true" t="shared" si="5" ref="F117:F135">SUM(D117:E117)</f>
        <v>799000</v>
      </c>
      <c r="G117" s="5">
        <v>244000</v>
      </c>
      <c r="H117" s="5">
        <v>555000</v>
      </c>
      <c r="I117" s="6">
        <f aca="true" t="shared" si="6" ref="I117:I125">SUM(G117:H117)</f>
        <v>799000</v>
      </c>
    </row>
    <row r="118" spans="1:9" ht="15">
      <c r="A118" s="15">
        <v>36</v>
      </c>
      <c r="B118" s="15">
        <v>3</v>
      </c>
      <c r="C118" s="20" t="s">
        <v>54</v>
      </c>
      <c r="D118" s="5"/>
      <c r="E118" s="5">
        <v>1574000</v>
      </c>
      <c r="F118" s="6">
        <f t="shared" si="5"/>
        <v>1574000</v>
      </c>
      <c r="G118" s="5"/>
      <c r="H118" s="5">
        <v>1582000</v>
      </c>
      <c r="I118" s="6">
        <f t="shared" si="6"/>
        <v>1582000</v>
      </c>
    </row>
    <row r="119" spans="1:9" ht="15">
      <c r="A119" s="15">
        <v>37</v>
      </c>
      <c r="B119" s="21">
        <v>4</v>
      </c>
      <c r="C119" s="20" t="s">
        <v>55</v>
      </c>
      <c r="D119" s="5"/>
      <c r="E119" s="5"/>
      <c r="F119" s="6">
        <f t="shared" si="5"/>
        <v>0</v>
      </c>
      <c r="G119" s="5">
        <v>264000</v>
      </c>
      <c r="H119" s="5">
        <v>492000</v>
      </c>
      <c r="I119" s="6">
        <f t="shared" si="6"/>
        <v>756000</v>
      </c>
    </row>
    <row r="120" spans="1:9" ht="15">
      <c r="A120" s="15">
        <v>38</v>
      </c>
      <c r="B120" s="15">
        <v>5</v>
      </c>
      <c r="C120" s="20" t="s">
        <v>56</v>
      </c>
      <c r="D120" s="5">
        <v>505700</v>
      </c>
      <c r="E120" s="5">
        <v>157000</v>
      </c>
      <c r="F120" s="6">
        <f t="shared" si="5"/>
        <v>662700</v>
      </c>
      <c r="G120" s="5">
        <v>505700</v>
      </c>
      <c r="H120" s="5">
        <v>157000</v>
      </c>
      <c r="I120" s="6">
        <f t="shared" si="6"/>
        <v>662700</v>
      </c>
    </row>
    <row r="121" spans="1:9" ht="15">
      <c r="A121" s="15">
        <v>39</v>
      </c>
      <c r="B121" s="15">
        <v>6</v>
      </c>
      <c r="C121" s="20" t="s">
        <v>57</v>
      </c>
      <c r="D121" s="5">
        <v>1916098</v>
      </c>
      <c r="E121" s="5">
        <v>100000</v>
      </c>
      <c r="F121" s="6">
        <f t="shared" si="5"/>
        <v>2016098</v>
      </c>
      <c r="G121" s="5">
        <v>1486192</v>
      </c>
      <c r="H121" s="5">
        <v>100000</v>
      </c>
      <c r="I121" s="6">
        <f t="shared" si="6"/>
        <v>1586192</v>
      </c>
    </row>
    <row r="122" spans="1:9" ht="15">
      <c r="A122" s="15">
        <v>40</v>
      </c>
      <c r="B122" s="15">
        <v>7</v>
      </c>
      <c r="C122" s="20" t="s">
        <v>58</v>
      </c>
      <c r="D122" s="5">
        <v>502000</v>
      </c>
      <c r="E122" s="5">
        <v>140000</v>
      </c>
      <c r="F122" s="6">
        <f t="shared" si="5"/>
        <v>642000</v>
      </c>
      <c r="G122" s="5">
        <v>505000</v>
      </c>
      <c r="H122" s="5">
        <v>140000</v>
      </c>
      <c r="I122" s="6">
        <f t="shared" si="6"/>
        <v>645000</v>
      </c>
    </row>
    <row r="123" spans="1:9" ht="15">
      <c r="A123" s="15">
        <v>41</v>
      </c>
      <c r="B123" s="15">
        <v>8</v>
      </c>
      <c r="C123" s="19" t="s">
        <v>59</v>
      </c>
      <c r="D123" s="5">
        <v>758000</v>
      </c>
      <c r="E123" s="5">
        <v>100000</v>
      </c>
      <c r="F123" s="6">
        <f t="shared" si="5"/>
        <v>858000</v>
      </c>
      <c r="G123" s="5">
        <v>758000</v>
      </c>
      <c r="H123" s="5">
        <v>100000</v>
      </c>
      <c r="I123" s="6">
        <f t="shared" si="6"/>
        <v>858000</v>
      </c>
    </row>
    <row r="124" spans="1:9" ht="15">
      <c r="A124" s="15">
        <v>42</v>
      </c>
      <c r="B124" s="15">
        <v>9</v>
      </c>
      <c r="C124" s="19" t="s">
        <v>60</v>
      </c>
      <c r="D124" s="5">
        <v>404500</v>
      </c>
      <c r="E124" s="5">
        <v>230000</v>
      </c>
      <c r="F124" s="6">
        <f t="shared" si="5"/>
        <v>634500</v>
      </c>
      <c r="G124" s="5">
        <v>404500</v>
      </c>
      <c r="H124" s="5">
        <v>230000</v>
      </c>
      <c r="I124" s="6">
        <f t="shared" si="6"/>
        <v>634500</v>
      </c>
    </row>
    <row r="125" spans="1:9" ht="15">
      <c r="A125" s="15">
        <v>43</v>
      </c>
      <c r="B125" s="15">
        <v>10</v>
      </c>
      <c r="C125" s="19" t="s">
        <v>61</v>
      </c>
      <c r="D125" s="5">
        <v>260400</v>
      </c>
      <c r="E125" s="5">
        <v>140000</v>
      </c>
      <c r="F125" s="6">
        <f t="shared" si="5"/>
        <v>400400</v>
      </c>
      <c r="G125" s="5">
        <v>260400</v>
      </c>
      <c r="H125" s="5">
        <v>120000</v>
      </c>
      <c r="I125" s="6">
        <f t="shared" si="6"/>
        <v>380400</v>
      </c>
    </row>
    <row r="126" spans="1:9" ht="15">
      <c r="A126" s="15">
        <v>44</v>
      </c>
      <c r="B126" s="15">
        <v>11</v>
      </c>
      <c r="C126" s="19" t="s">
        <v>62</v>
      </c>
      <c r="D126" s="5">
        <v>917000</v>
      </c>
      <c r="F126" s="6">
        <f>SUM(D126:E126)</f>
        <v>917000</v>
      </c>
      <c r="G126" s="5">
        <v>920107</v>
      </c>
      <c r="I126" s="6">
        <f>SUM(G126:H126)</f>
        <v>920107</v>
      </c>
    </row>
    <row r="127" spans="1:9" ht="15">
      <c r="A127" s="15">
        <v>45</v>
      </c>
      <c r="B127" s="15">
        <v>12</v>
      </c>
      <c r="C127" s="19" t="s">
        <v>63</v>
      </c>
      <c r="D127" s="5"/>
      <c r="E127" s="5"/>
      <c r="F127" s="6">
        <f t="shared" si="5"/>
        <v>0</v>
      </c>
      <c r="G127" s="5"/>
      <c r="H127" s="5"/>
      <c r="I127" s="6">
        <f>SUM(G127:H127)</f>
        <v>0</v>
      </c>
    </row>
    <row r="128" spans="1:9" ht="15">
      <c r="A128" s="15">
        <v>46</v>
      </c>
      <c r="B128" s="15">
        <v>13</v>
      </c>
      <c r="C128" s="19" t="s">
        <v>64</v>
      </c>
      <c r="D128" s="5"/>
      <c r="E128" s="5"/>
      <c r="F128" s="6">
        <f t="shared" si="5"/>
        <v>0</v>
      </c>
      <c r="G128" s="5">
        <v>1200000</v>
      </c>
      <c r="H128" s="5"/>
      <c r="I128" s="6">
        <f>SUM(G128:H128)</f>
        <v>1200000</v>
      </c>
    </row>
    <row r="129" spans="1:9" ht="15">
      <c r="A129" s="15">
        <v>47</v>
      </c>
      <c r="B129" s="15">
        <v>14</v>
      </c>
      <c r="C129" s="19" t="s">
        <v>65</v>
      </c>
      <c r="D129" s="5">
        <v>127000</v>
      </c>
      <c r="E129" s="5">
        <v>125000</v>
      </c>
      <c r="F129" s="6">
        <f>SUM(D129:E129)</f>
        <v>252000</v>
      </c>
      <c r="G129" s="5">
        <v>127000</v>
      </c>
      <c r="H129" s="5">
        <v>125000</v>
      </c>
      <c r="I129" s="6">
        <f>SUM(G129:H129)</f>
        <v>252000</v>
      </c>
    </row>
    <row r="130" spans="1:9" ht="15">
      <c r="A130" s="15">
        <v>48</v>
      </c>
      <c r="B130" s="15">
        <v>15</v>
      </c>
      <c r="C130" s="78" t="s">
        <v>66</v>
      </c>
      <c r="D130" s="5"/>
      <c r="E130" s="5"/>
      <c r="F130" s="6">
        <f t="shared" si="5"/>
        <v>0</v>
      </c>
      <c r="G130" s="5"/>
      <c r="H130" s="5"/>
      <c r="I130" s="6">
        <f aca="true" t="shared" si="7" ref="I130:I135">SUM(G130:H130)</f>
        <v>0</v>
      </c>
    </row>
    <row r="131" spans="1:9" ht="15">
      <c r="A131" s="15">
        <v>49</v>
      </c>
      <c r="B131" s="15">
        <v>16</v>
      </c>
      <c r="C131" s="19" t="s">
        <v>67</v>
      </c>
      <c r="D131" s="5">
        <v>980000</v>
      </c>
      <c r="E131" s="5"/>
      <c r="F131" s="6">
        <f t="shared" si="5"/>
        <v>980000</v>
      </c>
      <c r="G131" s="5">
        <v>987000</v>
      </c>
      <c r="H131" s="5"/>
      <c r="I131" s="6">
        <f t="shared" si="7"/>
        <v>987000</v>
      </c>
    </row>
    <row r="132" spans="1:9" ht="15">
      <c r="A132" s="15">
        <v>50</v>
      </c>
      <c r="B132" s="15">
        <v>17</v>
      </c>
      <c r="C132" s="19" t="s">
        <v>68</v>
      </c>
      <c r="D132" s="5"/>
      <c r="E132" s="5"/>
      <c r="F132" s="6">
        <f t="shared" si="5"/>
        <v>0</v>
      </c>
      <c r="G132" s="5"/>
      <c r="H132" s="5"/>
      <c r="I132" s="6">
        <f t="shared" si="7"/>
        <v>0</v>
      </c>
    </row>
    <row r="133" spans="1:9" ht="15">
      <c r="A133" s="15">
        <v>51</v>
      </c>
      <c r="B133" s="15">
        <v>18</v>
      </c>
      <c r="C133" s="19" t="s">
        <v>69</v>
      </c>
      <c r="D133" s="5">
        <v>601719</v>
      </c>
      <c r="E133" s="5">
        <v>180000</v>
      </c>
      <c r="F133" s="6">
        <f t="shared" si="5"/>
        <v>781719</v>
      </c>
      <c r="G133" s="5">
        <v>604304</v>
      </c>
      <c r="H133" s="5">
        <v>160000</v>
      </c>
      <c r="I133" s="6">
        <f t="shared" si="7"/>
        <v>764304</v>
      </c>
    </row>
    <row r="134" spans="1:9" ht="15">
      <c r="A134" s="15">
        <v>52</v>
      </c>
      <c r="B134" s="15">
        <v>19</v>
      </c>
      <c r="C134" s="19" t="s">
        <v>70</v>
      </c>
      <c r="D134" s="5"/>
      <c r="E134" s="5">
        <v>510000</v>
      </c>
      <c r="F134" s="6">
        <f t="shared" si="5"/>
        <v>510000</v>
      </c>
      <c r="G134" s="5"/>
      <c r="H134" s="5">
        <v>510000</v>
      </c>
      <c r="I134" s="6">
        <f t="shared" si="7"/>
        <v>510000</v>
      </c>
    </row>
    <row r="135" spans="1:9" ht="15">
      <c r="A135" s="15">
        <v>53</v>
      </c>
      <c r="B135" s="15">
        <v>20</v>
      </c>
      <c r="C135" s="19" t="s">
        <v>71</v>
      </c>
      <c r="D135" s="5">
        <v>527648</v>
      </c>
      <c r="E135" s="5">
        <v>296510</v>
      </c>
      <c r="F135" s="6">
        <f t="shared" si="5"/>
        <v>824158</v>
      </c>
      <c r="G135" s="5">
        <v>527648</v>
      </c>
      <c r="H135" s="5">
        <v>296510</v>
      </c>
      <c r="I135" s="6">
        <f t="shared" si="7"/>
        <v>824158</v>
      </c>
    </row>
    <row r="136" spans="1:13" ht="15">
      <c r="A136" s="224" t="s">
        <v>5</v>
      </c>
      <c r="B136" s="225"/>
      <c r="C136" s="225"/>
      <c r="D136" s="7">
        <f>SUM(D116:D135)</f>
        <v>9401065</v>
      </c>
      <c r="E136" s="7">
        <f>SUM(E116:E135)</f>
        <v>4757010</v>
      </c>
      <c r="F136" s="7">
        <f>SUM(D136:E136)</f>
        <v>14158075</v>
      </c>
      <c r="G136" s="7">
        <f>SUM(G116:G135)</f>
        <v>10485851</v>
      </c>
      <c r="H136" s="7">
        <f>SUM(H116:H135)</f>
        <v>5217010</v>
      </c>
      <c r="I136" s="7">
        <f>SUM(G136:H136)</f>
        <v>15702861</v>
      </c>
      <c r="M136" t="s">
        <v>348</v>
      </c>
    </row>
    <row r="137" spans="1:9" ht="15">
      <c r="A137" s="234" t="s">
        <v>72</v>
      </c>
      <c r="B137" s="235"/>
      <c r="C137" s="235"/>
      <c r="D137" s="235"/>
      <c r="E137" s="235"/>
      <c r="F137" s="235"/>
      <c r="G137" s="235"/>
      <c r="H137" s="235"/>
      <c r="I137" s="236"/>
    </row>
    <row r="138" spans="1:9" ht="15">
      <c r="A138" s="15">
        <v>54</v>
      </c>
      <c r="B138" s="15">
        <v>1</v>
      </c>
      <c r="C138" s="20" t="s">
        <v>73</v>
      </c>
      <c r="D138" s="5">
        <v>1424040</v>
      </c>
      <c r="E138" s="5">
        <v>852800</v>
      </c>
      <c r="F138" s="6">
        <f>SUM(D138:E138)</f>
        <v>2276840</v>
      </c>
      <c r="G138" s="5">
        <v>1424040</v>
      </c>
      <c r="H138" s="5">
        <v>842800</v>
      </c>
      <c r="I138" s="6">
        <f>SUM(G138:H138)</f>
        <v>2266840</v>
      </c>
    </row>
    <row r="139" spans="1:9" ht="15">
      <c r="A139" s="15">
        <v>55</v>
      </c>
      <c r="B139" s="15">
        <v>2</v>
      </c>
      <c r="C139" s="20" t="s">
        <v>74</v>
      </c>
      <c r="D139" s="5">
        <v>348000</v>
      </c>
      <c r="E139" s="5">
        <v>258000</v>
      </c>
      <c r="F139" s="6">
        <f>SUM(D139:E139)</f>
        <v>606000</v>
      </c>
      <c r="G139" s="5">
        <v>345000</v>
      </c>
      <c r="H139" s="5">
        <v>254000</v>
      </c>
      <c r="I139" s="6">
        <f>SUM(G139:H139)</f>
        <v>599000</v>
      </c>
    </row>
    <row r="140" spans="1:9" ht="15">
      <c r="A140" s="15">
        <v>56</v>
      </c>
      <c r="B140" s="15">
        <v>3</v>
      </c>
      <c r="C140" s="20" t="s">
        <v>75</v>
      </c>
      <c r="D140" s="5">
        <v>1269700</v>
      </c>
      <c r="E140" s="5">
        <v>1247500</v>
      </c>
      <c r="F140" s="6">
        <f aca="true" t="shared" si="8" ref="F140:F157">SUM(D140:E140)</f>
        <v>2517200</v>
      </c>
      <c r="G140" s="5">
        <v>1134200</v>
      </c>
      <c r="H140" s="5">
        <v>1247500</v>
      </c>
      <c r="I140" s="6">
        <f aca="true" t="shared" si="9" ref="I140:I157">SUM(G140:H140)</f>
        <v>2381700</v>
      </c>
    </row>
    <row r="141" spans="1:9" ht="15">
      <c r="A141" s="15">
        <v>57</v>
      </c>
      <c r="B141" s="15">
        <v>4</v>
      </c>
      <c r="C141" s="20" t="s">
        <v>76</v>
      </c>
      <c r="D141" s="5"/>
      <c r="E141" s="5">
        <v>300000</v>
      </c>
      <c r="F141" s="6">
        <f t="shared" si="8"/>
        <v>300000</v>
      </c>
      <c r="G141" s="5"/>
      <c r="H141" s="5">
        <v>300000</v>
      </c>
      <c r="I141" s="6">
        <f t="shared" si="9"/>
        <v>300000</v>
      </c>
    </row>
    <row r="142" spans="1:9" ht="15">
      <c r="A142" s="15">
        <v>58</v>
      </c>
      <c r="B142" s="15">
        <v>5</v>
      </c>
      <c r="C142" s="22" t="s">
        <v>77</v>
      </c>
      <c r="D142" s="5"/>
      <c r="E142" s="5"/>
      <c r="F142" s="6">
        <f t="shared" si="8"/>
        <v>0</v>
      </c>
      <c r="G142" s="5"/>
      <c r="H142" s="5"/>
      <c r="I142" s="6">
        <f t="shared" si="9"/>
        <v>0</v>
      </c>
    </row>
    <row r="143" spans="1:9" ht="15">
      <c r="A143" s="15">
        <v>59</v>
      </c>
      <c r="B143" s="15">
        <v>6</v>
      </c>
      <c r="C143" s="20" t="s">
        <v>78</v>
      </c>
      <c r="D143" s="5">
        <v>794000</v>
      </c>
      <c r="E143" s="5">
        <v>1419500</v>
      </c>
      <c r="F143" s="6">
        <f t="shared" si="8"/>
        <v>2213500</v>
      </c>
      <c r="G143" s="5">
        <v>794000</v>
      </c>
      <c r="H143" s="5">
        <v>1419500</v>
      </c>
      <c r="I143" s="6">
        <f t="shared" si="9"/>
        <v>2213500</v>
      </c>
    </row>
    <row r="144" spans="1:9" ht="15">
      <c r="A144" s="15">
        <v>60</v>
      </c>
      <c r="B144" s="15">
        <v>7</v>
      </c>
      <c r="C144" s="20" t="s">
        <v>79</v>
      </c>
      <c r="D144" s="5">
        <v>337000</v>
      </c>
      <c r="E144" s="5">
        <v>450000</v>
      </c>
      <c r="F144" s="6">
        <f t="shared" si="8"/>
        <v>787000</v>
      </c>
      <c r="G144" s="5">
        <v>337000</v>
      </c>
      <c r="H144" s="5">
        <v>450000</v>
      </c>
      <c r="I144" s="6">
        <f t="shared" si="9"/>
        <v>787000</v>
      </c>
    </row>
    <row r="145" spans="1:9" ht="15">
      <c r="A145" s="15">
        <v>61</v>
      </c>
      <c r="B145" s="15">
        <v>8</v>
      </c>
      <c r="C145" s="20" t="s">
        <v>80</v>
      </c>
      <c r="D145" s="5">
        <v>571000</v>
      </c>
      <c r="E145" s="5">
        <v>939000</v>
      </c>
      <c r="F145" s="6">
        <f t="shared" si="8"/>
        <v>1510000</v>
      </c>
      <c r="G145" s="5">
        <v>571000</v>
      </c>
      <c r="H145" s="5">
        <v>939000</v>
      </c>
      <c r="I145" s="6">
        <f t="shared" si="9"/>
        <v>1510000</v>
      </c>
    </row>
    <row r="146" spans="1:9" ht="15">
      <c r="A146" s="15">
        <v>62</v>
      </c>
      <c r="B146" s="15">
        <v>9</v>
      </c>
      <c r="C146" s="20" t="s">
        <v>81</v>
      </c>
      <c r="D146" s="5">
        <v>346000</v>
      </c>
      <c r="E146" s="5">
        <v>510000</v>
      </c>
      <c r="F146" s="6">
        <f t="shared" si="8"/>
        <v>856000</v>
      </c>
      <c r="G146" s="5">
        <v>339000</v>
      </c>
      <c r="H146" s="5">
        <v>495000</v>
      </c>
      <c r="I146" s="6">
        <f t="shared" si="9"/>
        <v>834000</v>
      </c>
    </row>
    <row r="147" spans="1:9" ht="15">
      <c r="A147" s="15">
        <v>63</v>
      </c>
      <c r="B147" s="15">
        <v>10</v>
      </c>
      <c r="C147" s="20" t="s">
        <v>82</v>
      </c>
      <c r="D147" s="5">
        <v>357100</v>
      </c>
      <c r="E147" s="5">
        <v>72000</v>
      </c>
      <c r="F147" s="6">
        <f t="shared" si="8"/>
        <v>429100</v>
      </c>
      <c r="G147" s="5">
        <v>357100</v>
      </c>
      <c r="H147" s="5">
        <v>72000</v>
      </c>
      <c r="I147" s="6">
        <f t="shared" si="9"/>
        <v>429100</v>
      </c>
    </row>
    <row r="148" spans="1:9" ht="15">
      <c r="A148" s="15">
        <v>64</v>
      </c>
      <c r="B148" s="15">
        <v>11</v>
      </c>
      <c r="C148" s="20" t="s">
        <v>83</v>
      </c>
      <c r="D148" s="5">
        <v>600000</v>
      </c>
      <c r="E148" s="5">
        <v>200000</v>
      </c>
      <c r="F148" s="6">
        <f t="shared" si="8"/>
        <v>800000</v>
      </c>
      <c r="G148" s="5">
        <v>200000</v>
      </c>
      <c r="H148" s="5">
        <v>600000</v>
      </c>
      <c r="I148" s="6">
        <f t="shared" si="9"/>
        <v>800000</v>
      </c>
    </row>
    <row r="149" spans="1:9" ht="15">
      <c r="A149" s="15">
        <v>65</v>
      </c>
      <c r="B149" s="15">
        <v>12</v>
      </c>
      <c r="C149" s="20" t="s">
        <v>84</v>
      </c>
      <c r="D149" s="5">
        <v>201700</v>
      </c>
      <c r="E149" s="5">
        <v>809000</v>
      </c>
      <c r="F149" s="6">
        <f t="shared" si="8"/>
        <v>1010700</v>
      </c>
      <c r="G149" s="5">
        <v>201700</v>
      </c>
      <c r="H149" s="5">
        <v>809000</v>
      </c>
      <c r="I149" s="6">
        <f t="shared" si="9"/>
        <v>1010700</v>
      </c>
    </row>
    <row r="150" spans="1:9" ht="15">
      <c r="A150" s="15">
        <v>66</v>
      </c>
      <c r="B150" s="15">
        <v>13</v>
      </c>
      <c r="C150" s="20" t="s">
        <v>85</v>
      </c>
      <c r="D150" s="18"/>
      <c r="E150" s="18">
        <v>500000</v>
      </c>
      <c r="F150" s="6">
        <f t="shared" si="8"/>
        <v>500000</v>
      </c>
      <c r="G150" s="18"/>
      <c r="H150" s="18">
        <v>500000</v>
      </c>
      <c r="I150" s="6">
        <f t="shared" si="9"/>
        <v>500000</v>
      </c>
    </row>
    <row r="151" spans="1:9" ht="15">
      <c r="A151" s="15">
        <v>67</v>
      </c>
      <c r="B151" s="15">
        <v>14</v>
      </c>
      <c r="C151" s="22" t="s">
        <v>86</v>
      </c>
      <c r="D151" s="5"/>
      <c r="E151" s="5"/>
      <c r="F151" s="6">
        <f t="shared" si="8"/>
        <v>0</v>
      </c>
      <c r="G151" s="5"/>
      <c r="H151" s="5"/>
      <c r="I151" s="6">
        <f t="shared" si="9"/>
        <v>0</v>
      </c>
    </row>
    <row r="152" spans="1:9" ht="15">
      <c r="A152" s="15">
        <v>68</v>
      </c>
      <c r="B152" s="15">
        <v>15</v>
      </c>
      <c r="C152" s="20" t="s">
        <v>87</v>
      </c>
      <c r="D152" s="5"/>
      <c r="E152" s="5">
        <v>1021000</v>
      </c>
      <c r="F152" s="6">
        <f t="shared" si="8"/>
        <v>1021000</v>
      </c>
      <c r="G152" s="5"/>
      <c r="H152" s="5">
        <v>1006000</v>
      </c>
      <c r="I152" s="6">
        <f t="shared" si="9"/>
        <v>1006000</v>
      </c>
    </row>
    <row r="153" spans="1:9" ht="15">
      <c r="A153" s="15">
        <v>69</v>
      </c>
      <c r="B153" s="15">
        <v>16</v>
      </c>
      <c r="C153" s="20" t="s">
        <v>88</v>
      </c>
      <c r="D153" s="5"/>
      <c r="E153" s="5">
        <v>2259000</v>
      </c>
      <c r="F153" s="6">
        <f t="shared" si="8"/>
        <v>2259000</v>
      </c>
      <c r="G153" s="5"/>
      <c r="H153" s="5"/>
      <c r="I153" s="6">
        <f t="shared" si="9"/>
        <v>0</v>
      </c>
    </row>
    <row r="154" spans="1:9" ht="15">
      <c r="A154" s="15">
        <v>70</v>
      </c>
      <c r="B154" s="15">
        <v>17</v>
      </c>
      <c r="C154" s="20" t="s">
        <v>89</v>
      </c>
      <c r="D154" s="5"/>
      <c r="E154" s="5"/>
      <c r="F154" s="6">
        <f t="shared" si="8"/>
        <v>0</v>
      </c>
      <c r="G154" s="5"/>
      <c r="H154" s="5">
        <v>1520000</v>
      </c>
      <c r="I154" s="6">
        <f t="shared" si="9"/>
        <v>1520000</v>
      </c>
    </row>
    <row r="155" spans="1:9" ht="15">
      <c r="A155" s="15">
        <v>71</v>
      </c>
      <c r="B155" s="15">
        <v>18</v>
      </c>
      <c r="C155" s="19" t="s">
        <v>90</v>
      </c>
      <c r="D155" s="5"/>
      <c r="E155" s="5"/>
      <c r="F155" s="6">
        <f t="shared" si="8"/>
        <v>0</v>
      </c>
      <c r="G155" s="5">
        <v>458084</v>
      </c>
      <c r="H155" s="5">
        <v>4984724</v>
      </c>
      <c r="I155" s="6">
        <f t="shared" si="9"/>
        <v>5442808</v>
      </c>
    </row>
    <row r="156" spans="1:9" ht="15">
      <c r="A156" s="15">
        <v>72</v>
      </c>
      <c r="B156" s="15">
        <v>19</v>
      </c>
      <c r="C156" s="19" t="s">
        <v>91</v>
      </c>
      <c r="D156" s="5">
        <v>850800</v>
      </c>
      <c r="E156" s="5">
        <v>125000</v>
      </c>
      <c r="F156" s="6">
        <f t="shared" si="8"/>
        <v>975800</v>
      </c>
      <c r="G156" s="5">
        <v>868100</v>
      </c>
      <c r="H156" s="5">
        <v>125000</v>
      </c>
      <c r="I156" s="6">
        <f t="shared" si="9"/>
        <v>993100</v>
      </c>
    </row>
    <row r="157" spans="1:9" ht="15">
      <c r="A157" s="15">
        <v>73</v>
      </c>
      <c r="B157" s="15">
        <v>20</v>
      </c>
      <c r="C157" s="19" t="s">
        <v>92</v>
      </c>
      <c r="D157" s="5">
        <v>309000</v>
      </c>
      <c r="E157" s="5">
        <v>703000</v>
      </c>
      <c r="F157" s="6">
        <f t="shared" si="8"/>
        <v>1012000</v>
      </c>
      <c r="G157" s="5">
        <v>309000</v>
      </c>
      <c r="H157" s="5">
        <v>703000</v>
      </c>
      <c r="I157" s="6">
        <f t="shared" si="9"/>
        <v>1012000</v>
      </c>
    </row>
    <row r="158" spans="1:9" ht="15">
      <c r="A158" s="224" t="s">
        <v>5</v>
      </c>
      <c r="B158" s="225"/>
      <c r="C158" s="225"/>
      <c r="D158" s="7">
        <f>SUM(D138:D157)</f>
        <v>7408340</v>
      </c>
      <c r="E158" s="7">
        <f>SUM(E138:E157)</f>
        <v>11665800</v>
      </c>
      <c r="F158" s="7">
        <f>SUM(D158:E158)</f>
        <v>19074140</v>
      </c>
      <c r="G158" s="7">
        <f>SUM(G138:G157)</f>
        <v>7338224</v>
      </c>
      <c r="H158" s="7">
        <f>SUM(H138:H157)</f>
        <v>16267524</v>
      </c>
      <c r="I158" s="7">
        <f>SUM(G158:H158)</f>
        <v>23605748</v>
      </c>
    </row>
    <row r="159" spans="1:9" ht="15">
      <c r="A159" s="224" t="s">
        <v>93</v>
      </c>
      <c r="B159" s="225"/>
      <c r="C159" s="225"/>
      <c r="D159" s="225"/>
      <c r="E159" s="225"/>
      <c r="F159" s="225"/>
      <c r="G159" s="225"/>
      <c r="H159" s="225"/>
      <c r="I159" s="226"/>
    </row>
    <row r="160" spans="1:9" ht="15">
      <c r="A160" s="15">
        <v>74</v>
      </c>
      <c r="B160" s="15">
        <v>1</v>
      </c>
      <c r="C160" s="19" t="s">
        <v>94</v>
      </c>
      <c r="D160" s="5">
        <v>1426555</v>
      </c>
      <c r="E160" s="5">
        <v>101000</v>
      </c>
      <c r="F160" s="6">
        <f>SUM(D160:E160)</f>
        <v>1527555</v>
      </c>
      <c r="G160" s="5">
        <v>1275905</v>
      </c>
      <c r="H160" s="5">
        <v>99000</v>
      </c>
      <c r="I160" s="6">
        <f>SUM(G160:H160)</f>
        <v>1374905</v>
      </c>
    </row>
    <row r="161" spans="1:9" ht="15">
      <c r="A161" s="15">
        <v>75</v>
      </c>
      <c r="B161" s="15">
        <v>2</v>
      </c>
      <c r="C161" s="19" t="s">
        <v>95</v>
      </c>
      <c r="D161" s="5"/>
      <c r="E161" s="5">
        <v>25000</v>
      </c>
      <c r="F161" s="6">
        <f aca="true" t="shared" si="10" ref="F161:F182">SUM(D161:E161)</f>
        <v>25000</v>
      </c>
      <c r="G161" s="5"/>
      <c r="H161" s="5">
        <v>25000</v>
      </c>
      <c r="I161" s="6">
        <f aca="true" t="shared" si="11" ref="I161:I179">SUM(G161:H161)</f>
        <v>25000</v>
      </c>
    </row>
    <row r="162" spans="1:9" ht="15">
      <c r="A162" s="15">
        <v>76</v>
      </c>
      <c r="B162" s="15">
        <v>3</v>
      </c>
      <c r="C162" s="19" t="s">
        <v>96</v>
      </c>
      <c r="D162" s="5"/>
      <c r="E162" s="5">
        <f>75000+245000+30000</f>
        <v>350000</v>
      </c>
      <c r="F162" s="6">
        <f t="shared" si="10"/>
        <v>350000</v>
      </c>
      <c r="G162" s="5"/>
      <c r="H162" s="5">
        <f>75000+40000+260000</f>
        <v>375000</v>
      </c>
      <c r="I162" s="6">
        <f t="shared" si="11"/>
        <v>375000</v>
      </c>
    </row>
    <row r="163" spans="1:9" ht="15">
      <c r="A163" s="15">
        <v>77</v>
      </c>
      <c r="B163" s="15">
        <v>4</v>
      </c>
      <c r="C163" s="19" t="s">
        <v>97</v>
      </c>
      <c r="D163" s="5"/>
      <c r="E163" s="5"/>
      <c r="F163" s="6">
        <f t="shared" si="10"/>
        <v>0</v>
      </c>
      <c r="G163" s="5"/>
      <c r="H163" s="5"/>
      <c r="I163" s="6">
        <f t="shared" si="11"/>
        <v>0</v>
      </c>
    </row>
    <row r="164" spans="1:9" ht="15">
      <c r="A164" s="15">
        <v>78</v>
      </c>
      <c r="B164" s="15">
        <v>5</v>
      </c>
      <c r="C164" s="19" t="s">
        <v>98</v>
      </c>
      <c r="D164" s="5"/>
      <c r="E164" s="5"/>
      <c r="F164" s="6">
        <f t="shared" si="10"/>
        <v>0</v>
      </c>
      <c r="G164" s="5"/>
      <c r="H164" s="5"/>
      <c r="I164" s="6">
        <f t="shared" si="11"/>
        <v>0</v>
      </c>
    </row>
    <row r="165" spans="1:9" ht="15">
      <c r="A165" s="15">
        <v>79</v>
      </c>
      <c r="B165" s="15">
        <v>6</v>
      </c>
      <c r="C165" s="20" t="s">
        <v>99</v>
      </c>
      <c r="D165" s="5"/>
      <c r="E165" s="5"/>
      <c r="F165" s="6">
        <f t="shared" si="10"/>
        <v>0</v>
      </c>
      <c r="G165" s="5">
        <f>20000000+20000000</f>
        <v>40000000</v>
      </c>
      <c r="H165" s="5"/>
      <c r="I165" s="6">
        <f t="shared" si="11"/>
        <v>40000000</v>
      </c>
    </row>
    <row r="166" spans="1:9" ht="15">
      <c r="A166" s="15">
        <v>80</v>
      </c>
      <c r="B166" s="15">
        <v>7</v>
      </c>
      <c r="C166" s="19" t="s">
        <v>100</v>
      </c>
      <c r="D166" s="5"/>
      <c r="E166" s="5"/>
      <c r="F166" s="6">
        <f t="shared" si="10"/>
        <v>0</v>
      </c>
      <c r="G166" s="5"/>
      <c r="H166" s="5"/>
      <c r="I166" s="6">
        <f t="shared" si="11"/>
        <v>0</v>
      </c>
    </row>
    <row r="167" spans="1:9" ht="15">
      <c r="A167" s="15">
        <v>81</v>
      </c>
      <c r="B167" s="15">
        <v>8</v>
      </c>
      <c r="C167" s="19" t="s">
        <v>101</v>
      </c>
      <c r="D167" s="5"/>
      <c r="E167" s="5"/>
      <c r="F167" s="6">
        <f t="shared" si="10"/>
        <v>0</v>
      </c>
      <c r="G167" s="5"/>
      <c r="H167" s="5"/>
      <c r="I167" s="6">
        <f t="shared" si="11"/>
        <v>0</v>
      </c>
    </row>
    <row r="168" spans="1:9" ht="15">
      <c r="A168" s="15">
        <v>82</v>
      </c>
      <c r="B168" s="15">
        <v>9</v>
      </c>
      <c r="C168" s="19" t="s">
        <v>102</v>
      </c>
      <c r="D168" s="5"/>
      <c r="E168" s="5"/>
      <c r="F168" s="6">
        <f t="shared" si="10"/>
        <v>0</v>
      </c>
      <c r="G168" s="5"/>
      <c r="H168" s="5"/>
      <c r="I168" s="6">
        <f t="shared" si="11"/>
        <v>0</v>
      </c>
    </row>
    <row r="169" spans="1:9" ht="15">
      <c r="A169" s="15">
        <v>83</v>
      </c>
      <c r="B169" s="15">
        <v>10</v>
      </c>
      <c r="C169" s="19" t="s">
        <v>103</v>
      </c>
      <c r="D169" s="5"/>
      <c r="E169" s="5"/>
      <c r="F169" s="6">
        <f t="shared" si="10"/>
        <v>0</v>
      </c>
      <c r="G169" s="5"/>
      <c r="H169" s="5"/>
      <c r="I169" s="6">
        <f t="shared" si="11"/>
        <v>0</v>
      </c>
    </row>
    <row r="170" spans="1:9" ht="15">
      <c r="A170" s="15">
        <v>84</v>
      </c>
      <c r="B170" s="15">
        <v>11</v>
      </c>
      <c r="C170" s="19" t="s">
        <v>104</v>
      </c>
      <c r="D170" s="5"/>
      <c r="E170" s="5"/>
      <c r="F170" s="6">
        <f t="shared" si="10"/>
        <v>0</v>
      </c>
      <c r="G170" s="5">
        <f>5458982+5293952</f>
        <v>10752934</v>
      </c>
      <c r="H170" s="5"/>
      <c r="I170" s="6">
        <f t="shared" si="11"/>
        <v>10752934</v>
      </c>
    </row>
    <row r="171" spans="1:9" ht="15">
      <c r="A171" s="15">
        <v>85</v>
      </c>
      <c r="B171" s="15">
        <v>12</v>
      </c>
      <c r="C171" s="19" t="s">
        <v>105</v>
      </c>
      <c r="D171" s="5"/>
      <c r="E171" s="5"/>
      <c r="F171" s="6">
        <f t="shared" si="10"/>
        <v>0</v>
      </c>
      <c r="G171" s="5"/>
      <c r="H171" s="5"/>
      <c r="I171" s="6">
        <f t="shared" si="11"/>
        <v>0</v>
      </c>
    </row>
    <row r="172" spans="1:9" ht="15">
      <c r="A172" s="15">
        <v>86</v>
      </c>
      <c r="B172" s="15">
        <v>13</v>
      </c>
      <c r="C172" s="19" t="s">
        <v>106</v>
      </c>
      <c r="D172" s="5"/>
      <c r="E172" s="5"/>
      <c r="F172" s="6">
        <f t="shared" si="10"/>
        <v>0</v>
      </c>
      <c r="G172" s="5"/>
      <c r="H172" s="5">
        <v>170000</v>
      </c>
      <c r="I172" s="6">
        <f t="shared" si="11"/>
        <v>170000</v>
      </c>
    </row>
    <row r="173" spans="1:9" ht="15">
      <c r="A173" s="15">
        <v>87</v>
      </c>
      <c r="B173" s="15">
        <v>14</v>
      </c>
      <c r="C173" s="19" t="s">
        <v>251</v>
      </c>
      <c r="D173" s="5"/>
      <c r="E173" s="5">
        <v>67000</v>
      </c>
      <c r="F173" s="6">
        <f t="shared" si="10"/>
        <v>67000</v>
      </c>
      <c r="G173" s="5"/>
      <c r="H173" s="5">
        <v>62000</v>
      </c>
      <c r="I173" s="6">
        <f t="shared" si="11"/>
        <v>62000</v>
      </c>
    </row>
    <row r="174" spans="1:9" ht="15">
      <c r="A174" s="15">
        <v>88</v>
      </c>
      <c r="B174" s="15">
        <v>15</v>
      </c>
      <c r="C174" s="19" t="s">
        <v>108</v>
      </c>
      <c r="D174" s="5">
        <v>477000</v>
      </c>
      <c r="E174" s="5">
        <v>455000</v>
      </c>
      <c r="F174" s="6">
        <f t="shared" si="10"/>
        <v>932000</v>
      </c>
      <c r="G174" s="5">
        <v>477000</v>
      </c>
      <c r="H174" s="5">
        <v>460000</v>
      </c>
      <c r="I174" s="6">
        <f t="shared" si="11"/>
        <v>937000</v>
      </c>
    </row>
    <row r="175" spans="1:9" ht="15">
      <c r="A175" s="15">
        <v>89</v>
      </c>
      <c r="B175" s="15">
        <v>16</v>
      </c>
      <c r="C175" s="19" t="s">
        <v>109</v>
      </c>
      <c r="D175" s="5">
        <v>894000</v>
      </c>
      <c r="E175" s="5">
        <f>325000+401000</f>
        <v>726000</v>
      </c>
      <c r="F175" s="6">
        <f t="shared" si="10"/>
        <v>1620000</v>
      </c>
      <c r="G175" s="5">
        <v>788100</v>
      </c>
      <c r="H175" s="5">
        <f>400000+325000</f>
        <v>725000</v>
      </c>
      <c r="I175" s="6">
        <f t="shared" si="11"/>
        <v>1513100</v>
      </c>
    </row>
    <row r="176" spans="1:9" ht="15">
      <c r="A176" s="15">
        <v>90</v>
      </c>
      <c r="B176" s="15">
        <v>17</v>
      </c>
      <c r="C176" s="19" t="s">
        <v>110</v>
      </c>
      <c r="D176" s="5"/>
      <c r="E176" s="5"/>
      <c r="F176" s="6">
        <f t="shared" si="10"/>
        <v>0</v>
      </c>
      <c r="G176" s="5"/>
      <c r="H176" s="5"/>
      <c r="I176" s="6">
        <f t="shared" si="11"/>
        <v>0</v>
      </c>
    </row>
    <row r="177" spans="1:9" ht="15">
      <c r="A177" s="15">
        <v>91</v>
      </c>
      <c r="B177" s="15">
        <v>18</v>
      </c>
      <c r="C177" s="19" t="s">
        <v>111</v>
      </c>
      <c r="D177" s="5"/>
      <c r="E177" s="5"/>
      <c r="F177" s="6">
        <f t="shared" si="10"/>
        <v>0</v>
      </c>
      <c r="G177" s="5"/>
      <c r="H177" s="5"/>
      <c r="I177" s="6">
        <f t="shared" si="11"/>
        <v>0</v>
      </c>
    </row>
    <row r="178" spans="1:9" ht="15">
      <c r="A178" s="15">
        <v>92</v>
      </c>
      <c r="B178" s="15">
        <v>19</v>
      </c>
      <c r="C178" s="19" t="s">
        <v>112</v>
      </c>
      <c r="D178" s="5"/>
      <c r="E178" s="5"/>
      <c r="F178" s="6">
        <f t="shared" si="10"/>
        <v>0</v>
      </c>
      <c r="G178" s="5"/>
      <c r="H178" s="5"/>
      <c r="I178" s="6">
        <f t="shared" si="11"/>
        <v>0</v>
      </c>
    </row>
    <row r="179" spans="1:9" ht="15">
      <c r="A179" s="15">
        <v>93</v>
      </c>
      <c r="B179" s="15">
        <v>20</v>
      </c>
      <c r="C179" s="19" t="s">
        <v>113</v>
      </c>
      <c r="D179" s="5"/>
      <c r="E179" s="5"/>
      <c r="F179" s="6">
        <f t="shared" si="10"/>
        <v>0</v>
      </c>
      <c r="G179" s="5"/>
      <c r="H179" s="5"/>
      <c r="I179" s="6">
        <f t="shared" si="11"/>
        <v>0</v>
      </c>
    </row>
    <row r="180" spans="1:9" ht="15">
      <c r="A180" s="15">
        <v>94</v>
      </c>
      <c r="B180" s="15">
        <v>21</v>
      </c>
      <c r="C180" s="19" t="s">
        <v>114</v>
      </c>
      <c r="D180" s="5"/>
      <c r="E180" s="5"/>
      <c r="F180" s="6">
        <f>SUM(D180:E180)</f>
        <v>0</v>
      </c>
      <c r="G180" s="5"/>
      <c r="H180" s="5"/>
      <c r="I180" s="6">
        <f>SUM(G180:H180)</f>
        <v>0</v>
      </c>
    </row>
    <row r="181" spans="1:9" ht="15">
      <c r="A181" s="15">
        <v>95</v>
      </c>
      <c r="B181" s="15">
        <v>22</v>
      </c>
      <c r="C181" s="19" t="s">
        <v>115</v>
      </c>
      <c r="D181" s="5"/>
      <c r="E181" s="5"/>
      <c r="F181" s="6">
        <f t="shared" si="10"/>
        <v>0</v>
      </c>
      <c r="G181" s="5"/>
      <c r="H181" s="5"/>
      <c r="I181" s="6">
        <f>SUM(G181:H181)</f>
        <v>0</v>
      </c>
    </row>
    <row r="182" spans="1:9" ht="15">
      <c r="A182" s="15">
        <v>96</v>
      </c>
      <c r="B182" s="15">
        <v>23</v>
      </c>
      <c r="C182" s="19" t="s">
        <v>116</v>
      </c>
      <c r="D182" s="5"/>
      <c r="E182" s="5"/>
      <c r="F182" s="6">
        <f t="shared" si="10"/>
        <v>0</v>
      </c>
      <c r="G182" s="5"/>
      <c r="H182" s="5"/>
      <c r="I182" s="6">
        <f>SUM(G182:H182)</f>
        <v>0</v>
      </c>
    </row>
    <row r="183" spans="1:9" ht="15">
      <c r="A183" s="224" t="s">
        <v>5</v>
      </c>
      <c r="B183" s="225"/>
      <c r="C183" s="225"/>
      <c r="D183" s="7">
        <f>SUM(D160:D182)</f>
        <v>2797555</v>
      </c>
      <c r="E183" s="7">
        <f>SUM(E160:E182)</f>
        <v>1724000</v>
      </c>
      <c r="F183" s="7">
        <f>SUM(D183:E183)</f>
        <v>4521555</v>
      </c>
      <c r="G183" s="7">
        <f>SUM(G160:G182)</f>
        <v>53293939</v>
      </c>
      <c r="H183" s="7">
        <f>SUM(H160:H182)</f>
        <v>1916000</v>
      </c>
      <c r="I183" s="7">
        <f>SUM(G183:H183)</f>
        <v>55209939</v>
      </c>
    </row>
    <row r="184" spans="1:9" ht="15">
      <c r="A184" s="224" t="s">
        <v>117</v>
      </c>
      <c r="B184" s="225"/>
      <c r="C184" s="225"/>
      <c r="D184" s="225"/>
      <c r="E184" s="225"/>
      <c r="F184" s="225"/>
      <c r="G184" s="225"/>
      <c r="H184" s="225"/>
      <c r="I184" s="226"/>
    </row>
    <row r="185" spans="1:9" ht="15">
      <c r="A185" s="15">
        <v>97</v>
      </c>
      <c r="B185" s="15">
        <v>1</v>
      </c>
      <c r="C185" s="10" t="s">
        <v>118</v>
      </c>
      <c r="D185" s="5"/>
      <c r="E185" s="5">
        <v>40000</v>
      </c>
      <c r="F185" s="6">
        <f>SUM(D185:E185)</f>
        <v>40000</v>
      </c>
      <c r="G185" s="5"/>
      <c r="H185" s="5"/>
      <c r="I185" s="6">
        <f>SUM(G185:H185)</f>
        <v>0</v>
      </c>
    </row>
    <row r="186" spans="1:9" ht="15">
      <c r="A186" s="15">
        <v>98</v>
      </c>
      <c r="B186" s="15">
        <v>2</v>
      </c>
      <c r="C186" s="17" t="s">
        <v>119</v>
      </c>
      <c r="D186" s="5">
        <v>374475</v>
      </c>
      <c r="E186" s="5">
        <v>72200</v>
      </c>
      <c r="F186" s="6">
        <f aca="true" t="shared" si="12" ref="F186:F236">SUM(D186:E186)</f>
        <v>446675</v>
      </c>
      <c r="G186" s="5">
        <v>374475</v>
      </c>
      <c r="H186" s="5">
        <v>72200</v>
      </c>
      <c r="I186" s="6">
        <f aca="true" t="shared" si="13" ref="I186:I194">SUM(G186:H186)</f>
        <v>446675</v>
      </c>
    </row>
    <row r="187" spans="1:9" ht="15">
      <c r="A187" s="15">
        <v>99</v>
      </c>
      <c r="B187" s="15">
        <v>3</v>
      </c>
      <c r="C187" s="17" t="s">
        <v>120</v>
      </c>
      <c r="D187" s="5"/>
      <c r="E187" s="5">
        <v>80000</v>
      </c>
      <c r="F187" s="6">
        <f t="shared" si="12"/>
        <v>80000</v>
      </c>
      <c r="G187" s="5"/>
      <c r="H187" s="5">
        <v>80000</v>
      </c>
      <c r="I187" s="6">
        <f t="shared" si="13"/>
        <v>80000</v>
      </c>
    </row>
    <row r="188" spans="1:9" ht="15">
      <c r="A188" s="15">
        <v>100</v>
      </c>
      <c r="B188" s="15">
        <v>4</v>
      </c>
      <c r="C188" s="10" t="s">
        <v>121</v>
      </c>
      <c r="D188" s="5"/>
      <c r="E188" s="5"/>
      <c r="F188" s="6">
        <f t="shared" si="12"/>
        <v>0</v>
      </c>
      <c r="G188" s="5"/>
      <c r="H188" s="5"/>
      <c r="I188" s="6">
        <f t="shared" si="13"/>
        <v>0</v>
      </c>
    </row>
    <row r="189" spans="1:9" ht="15">
      <c r="A189" s="15">
        <v>101</v>
      </c>
      <c r="B189" s="15">
        <v>5</v>
      </c>
      <c r="C189" s="23" t="s">
        <v>122</v>
      </c>
      <c r="D189" s="5"/>
      <c r="E189" s="5"/>
      <c r="F189" s="6">
        <f t="shared" si="12"/>
        <v>0</v>
      </c>
      <c r="G189" s="5"/>
      <c r="H189" s="5"/>
      <c r="I189" s="6">
        <f t="shared" si="13"/>
        <v>0</v>
      </c>
    </row>
    <row r="190" spans="1:9" ht="15">
      <c r="A190" s="15">
        <v>102</v>
      </c>
      <c r="B190" s="15">
        <v>6</v>
      </c>
      <c r="C190" s="23" t="s">
        <v>123</v>
      </c>
      <c r="D190" s="5">
        <v>195300</v>
      </c>
      <c r="E190" s="5">
        <v>350000</v>
      </c>
      <c r="F190" s="6">
        <f t="shared" si="12"/>
        <v>545300</v>
      </c>
      <c r="G190" s="5">
        <v>195500</v>
      </c>
      <c r="H190" s="5">
        <v>350000</v>
      </c>
      <c r="I190" s="6">
        <f t="shared" si="13"/>
        <v>545500</v>
      </c>
    </row>
    <row r="191" spans="1:9" ht="15">
      <c r="A191" s="15">
        <v>103</v>
      </c>
      <c r="B191" s="15">
        <v>7</v>
      </c>
      <c r="C191" s="23" t="s">
        <v>124</v>
      </c>
      <c r="D191" s="5"/>
      <c r="E191" s="5"/>
      <c r="F191" s="6">
        <f t="shared" si="12"/>
        <v>0</v>
      </c>
      <c r="G191" s="5"/>
      <c r="H191" s="5"/>
      <c r="I191" s="6">
        <f t="shared" si="13"/>
        <v>0</v>
      </c>
    </row>
    <row r="192" spans="1:9" ht="15">
      <c r="A192" s="15">
        <v>104</v>
      </c>
      <c r="B192" s="15">
        <v>8</v>
      </c>
      <c r="C192" s="23" t="s">
        <v>125</v>
      </c>
      <c r="D192" s="5"/>
      <c r="E192" s="5"/>
      <c r="F192" s="6">
        <f t="shared" si="12"/>
        <v>0</v>
      </c>
      <c r="G192" s="5"/>
      <c r="H192" s="5"/>
      <c r="I192" s="6">
        <f t="shared" si="13"/>
        <v>0</v>
      </c>
    </row>
    <row r="193" spans="1:9" ht="15">
      <c r="A193" s="15">
        <v>105</v>
      </c>
      <c r="B193" s="15">
        <v>9</v>
      </c>
      <c r="C193" s="23" t="s">
        <v>126</v>
      </c>
      <c r="D193" s="5"/>
      <c r="E193" s="5"/>
      <c r="F193" s="6">
        <f t="shared" si="12"/>
        <v>0</v>
      </c>
      <c r="G193" s="5"/>
      <c r="H193" s="5"/>
      <c r="I193" s="6">
        <f t="shared" si="13"/>
        <v>0</v>
      </c>
    </row>
    <row r="194" spans="1:9" ht="15">
      <c r="A194" s="15">
        <v>106</v>
      </c>
      <c r="B194" s="15">
        <v>10</v>
      </c>
      <c r="C194" s="23" t="s">
        <v>127</v>
      </c>
      <c r="D194" s="5"/>
      <c r="E194" s="5">
        <f>309000+312000+312000</f>
        <v>933000</v>
      </c>
      <c r="F194" s="6">
        <f t="shared" si="12"/>
        <v>933000</v>
      </c>
      <c r="G194" s="5"/>
      <c r="H194" s="5">
        <f>309000+309000</f>
        <v>618000</v>
      </c>
      <c r="I194" s="6">
        <f t="shared" si="13"/>
        <v>618000</v>
      </c>
    </row>
    <row r="195" spans="1:9" ht="15">
      <c r="A195" s="15">
        <v>107</v>
      </c>
      <c r="B195" s="15">
        <v>11</v>
      </c>
      <c r="C195" s="23" t="s">
        <v>129</v>
      </c>
      <c r="D195" s="5"/>
      <c r="E195" s="5"/>
      <c r="F195" s="6">
        <f>SUM(D195:E195)</f>
        <v>0</v>
      </c>
      <c r="G195" s="5"/>
      <c r="H195" s="5"/>
      <c r="I195" s="6">
        <f>SUM(G195:H195)</f>
        <v>0</v>
      </c>
    </row>
    <row r="196" spans="1:9" ht="15">
      <c r="A196" s="15">
        <v>108</v>
      </c>
      <c r="B196" s="15">
        <v>12</v>
      </c>
      <c r="C196" s="24" t="s">
        <v>128</v>
      </c>
      <c r="D196" s="86"/>
      <c r="E196" s="5">
        <v>400000</v>
      </c>
      <c r="F196" s="6">
        <f>SUM(D196:E196)</f>
        <v>400000</v>
      </c>
      <c r="G196" s="86"/>
      <c r="H196" s="5">
        <v>400000</v>
      </c>
      <c r="I196" s="6">
        <f>SUM(G196:H196)</f>
        <v>400000</v>
      </c>
    </row>
    <row r="197" spans="1:9" ht="15">
      <c r="A197" s="15">
        <v>109</v>
      </c>
      <c r="B197" s="15">
        <v>13</v>
      </c>
      <c r="C197" s="23" t="s">
        <v>130</v>
      </c>
      <c r="D197" s="5">
        <v>992800</v>
      </c>
      <c r="E197" s="5">
        <v>1066000</v>
      </c>
      <c r="F197" s="6">
        <f t="shared" si="12"/>
        <v>2058800</v>
      </c>
      <c r="G197" s="5"/>
      <c r="H197" s="5"/>
      <c r="I197" s="6">
        <f aca="true" t="shared" si="14" ref="I197:I236">SUM(G197:H197)</f>
        <v>0</v>
      </c>
    </row>
    <row r="198" spans="1:9" ht="15">
      <c r="A198" s="15">
        <v>110</v>
      </c>
      <c r="B198" s="15">
        <v>14</v>
      </c>
      <c r="C198" s="23" t="s">
        <v>131</v>
      </c>
      <c r="D198" s="5">
        <v>600000</v>
      </c>
      <c r="E198" s="5">
        <v>410000</v>
      </c>
      <c r="F198" s="6">
        <f t="shared" si="12"/>
        <v>1010000</v>
      </c>
      <c r="G198" s="5"/>
      <c r="H198" s="5"/>
      <c r="I198" s="6">
        <f t="shared" si="14"/>
        <v>0</v>
      </c>
    </row>
    <row r="199" spans="1:9" ht="15">
      <c r="A199" s="15">
        <v>111</v>
      </c>
      <c r="B199" s="15">
        <v>15</v>
      </c>
      <c r="C199" s="23" t="s">
        <v>132</v>
      </c>
      <c r="D199" s="5">
        <v>48000</v>
      </c>
      <c r="E199" s="5"/>
      <c r="F199" s="6">
        <f t="shared" si="12"/>
        <v>48000</v>
      </c>
      <c r="G199" s="5"/>
      <c r="H199" s="5">
        <v>48000</v>
      </c>
      <c r="I199" s="6">
        <f t="shared" si="14"/>
        <v>48000</v>
      </c>
    </row>
    <row r="200" spans="1:9" ht="15">
      <c r="A200" s="15">
        <v>112</v>
      </c>
      <c r="B200" s="15">
        <v>16</v>
      </c>
      <c r="C200" s="23" t="s">
        <v>133</v>
      </c>
      <c r="D200" s="5"/>
      <c r="E200" s="5"/>
      <c r="F200" s="6">
        <f t="shared" si="12"/>
        <v>0</v>
      </c>
      <c r="G200" s="5"/>
      <c r="H200" s="5"/>
      <c r="I200" s="6">
        <f t="shared" si="14"/>
        <v>0</v>
      </c>
    </row>
    <row r="201" spans="1:9" ht="15">
      <c r="A201" s="15">
        <v>113</v>
      </c>
      <c r="B201" s="15">
        <v>17</v>
      </c>
      <c r="C201" s="23" t="s">
        <v>134</v>
      </c>
      <c r="D201" s="5"/>
      <c r="E201" s="5">
        <v>17000</v>
      </c>
      <c r="F201" s="6">
        <f t="shared" si="12"/>
        <v>17000</v>
      </c>
      <c r="G201" s="5"/>
      <c r="H201" s="5">
        <v>17000</v>
      </c>
      <c r="I201" s="6">
        <f t="shared" si="14"/>
        <v>17000</v>
      </c>
    </row>
    <row r="202" spans="1:9" ht="15">
      <c r="A202" s="15">
        <v>114</v>
      </c>
      <c r="B202" s="15">
        <v>18</v>
      </c>
      <c r="C202" s="23" t="s">
        <v>135</v>
      </c>
      <c r="D202" s="5"/>
      <c r="E202" s="5"/>
      <c r="F202" s="6">
        <f t="shared" si="12"/>
        <v>0</v>
      </c>
      <c r="G202" s="5"/>
      <c r="H202" s="5"/>
      <c r="I202" s="6">
        <f t="shared" si="14"/>
        <v>0</v>
      </c>
    </row>
    <row r="203" spans="1:9" ht="15">
      <c r="A203" s="15">
        <v>115</v>
      </c>
      <c r="B203" s="15">
        <v>19</v>
      </c>
      <c r="C203" s="23" t="s">
        <v>136</v>
      </c>
      <c r="D203" s="5"/>
      <c r="E203" s="5">
        <v>187000</v>
      </c>
      <c r="F203" s="6">
        <f t="shared" si="12"/>
        <v>187000</v>
      </c>
      <c r="G203" s="5"/>
      <c r="H203" s="5">
        <v>187000</v>
      </c>
      <c r="I203" s="6">
        <f t="shared" si="14"/>
        <v>187000</v>
      </c>
    </row>
    <row r="204" spans="1:9" ht="15">
      <c r="A204" s="15">
        <v>116</v>
      </c>
      <c r="B204" s="15">
        <v>20</v>
      </c>
      <c r="C204" s="23" t="s">
        <v>137</v>
      </c>
      <c r="D204" s="5"/>
      <c r="E204" s="5"/>
      <c r="F204" s="6">
        <f t="shared" si="12"/>
        <v>0</v>
      </c>
      <c r="G204" s="5"/>
      <c r="H204" s="5"/>
      <c r="I204" s="6">
        <f t="shared" si="14"/>
        <v>0</v>
      </c>
    </row>
    <row r="205" spans="1:9" ht="15">
      <c r="A205" s="15">
        <v>117</v>
      </c>
      <c r="B205" s="15">
        <v>21</v>
      </c>
      <c r="C205" s="23" t="s">
        <v>138</v>
      </c>
      <c r="D205" s="5">
        <v>95000</v>
      </c>
      <c r="E205" s="5">
        <v>145000</v>
      </c>
      <c r="F205" s="6">
        <f t="shared" si="12"/>
        <v>240000</v>
      </c>
      <c r="G205" s="5">
        <v>90000</v>
      </c>
      <c r="H205" s="5">
        <v>145000</v>
      </c>
      <c r="I205" s="6">
        <f t="shared" si="14"/>
        <v>235000</v>
      </c>
    </row>
    <row r="206" spans="1:9" ht="15">
      <c r="A206" s="15">
        <v>118</v>
      </c>
      <c r="B206" s="15">
        <v>22</v>
      </c>
      <c r="C206" s="23" t="s">
        <v>139</v>
      </c>
      <c r="D206" s="5"/>
      <c r="E206" s="5">
        <v>175000</v>
      </c>
      <c r="F206" s="6">
        <f t="shared" si="12"/>
        <v>175000</v>
      </c>
      <c r="G206" s="5"/>
      <c r="H206" s="5">
        <v>175000</v>
      </c>
      <c r="I206" s="6">
        <f t="shared" si="14"/>
        <v>175000</v>
      </c>
    </row>
    <row r="207" spans="1:9" ht="15">
      <c r="A207" s="15">
        <v>119</v>
      </c>
      <c r="B207" s="15">
        <v>23</v>
      </c>
      <c r="C207" s="23" t="s">
        <v>140</v>
      </c>
      <c r="D207" s="5"/>
      <c r="E207" s="5"/>
      <c r="F207" s="6">
        <f t="shared" si="12"/>
        <v>0</v>
      </c>
      <c r="G207" s="5"/>
      <c r="H207" s="5"/>
      <c r="I207" s="6">
        <f t="shared" si="14"/>
        <v>0</v>
      </c>
    </row>
    <row r="208" spans="1:9" ht="15">
      <c r="A208" s="15">
        <v>120</v>
      </c>
      <c r="B208" s="15">
        <v>24</v>
      </c>
      <c r="C208" s="23" t="s">
        <v>141</v>
      </c>
      <c r="D208" s="5">
        <v>154000</v>
      </c>
      <c r="E208" s="5">
        <v>695000</v>
      </c>
      <c r="F208" s="6">
        <f t="shared" si="12"/>
        <v>849000</v>
      </c>
      <c r="G208" s="5">
        <v>154000</v>
      </c>
      <c r="H208" s="5">
        <v>695000</v>
      </c>
      <c r="I208" s="6">
        <f t="shared" si="14"/>
        <v>849000</v>
      </c>
    </row>
    <row r="209" spans="1:9" ht="15">
      <c r="A209" s="15">
        <v>121</v>
      </c>
      <c r="B209" s="15">
        <v>25</v>
      </c>
      <c r="C209" s="23" t="s">
        <v>142</v>
      </c>
      <c r="D209" s="5">
        <v>354000</v>
      </c>
      <c r="E209" s="5"/>
      <c r="F209" s="6">
        <f t="shared" si="12"/>
        <v>354000</v>
      </c>
      <c r="G209" s="5">
        <v>354000</v>
      </c>
      <c r="H209" s="5"/>
      <c r="I209" s="6">
        <f t="shared" si="14"/>
        <v>354000</v>
      </c>
    </row>
    <row r="210" spans="1:9" ht="15">
      <c r="A210" s="15">
        <v>122</v>
      </c>
      <c r="B210" s="15">
        <v>26</v>
      </c>
      <c r="C210" s="23" t="s">
        <v>143</v>
      </c>
      <c r="D210" s="5"/>
      <c r="E210" s="5"/>
      <c r="F210" s="6">
        <f t="shared" si="12"/>
        <v>0</v>
      </c>
      <c r="G210" s="5"/>
      <c r="H210" s="5"/>
      <c r="I210" s="6">
        <f t="shared" si="14"/>
        <v>0</v>
      </c>
    </row>
    <row r="211" spans="1:9" ht="15">
      <c r="A211" s="15">
        <v>123</v>
      </c>
      <c r="B211" s="15">
        <v>27</v>
      </c>
      <c r="C211" s="23" t="s">
        <v>144</v>
      </c>
      <c r="D211" s="5">
        <v>870000</v>
      </c>
      <c r="E211" s="5"/>
      <c r="F211" s="6">
        <f t="shared" si="12"/>
        <v>870000</v>
      </c>
      <c r="G211" s="5">
        <v>833000</v>
      </c>
      <c r="H211" s="5"/>
      <c r="I211" s="6">
        <f t="shared" si="14"/>
        <v>833000</v>
      </c>
    </row>
    <row r="212" spans="1:9" ht="15">
      <c r="A212" s="15">
        <v>124</v>
      </c>
      <c r="B212" s="15">
        <v>28</v>
      </c>
      <c r="C212" s="23" t="s">
        <v>145</v>
      </c>
      <c r="D212" s="5"/>
      <c r="E212" s="5"/>
      <c r="F212" s="6">
        <f t="shared" si="12"/>
        <v>0</v>
      </c>
      <c r="G212" s="5"/>
      <c r="H212" s="5"/>
      <c r="I212" s="6">
        <f t="shared" si="14"/>
        <v>0</v>
      </c>
    </row>
    <row r="213" spans="1:9" ht="15">
      <c r="A213" s="15">
        <v>125</v>
      </c>
      <c r="B213" s="15">
        <v>29</v>
      </c>
      <c r="C213" s="23" t="s">
        <v>146</v>
      </c>
      <c r="D213" s="5"/>
      <c r="E213" s="5"/>
      <c r="F213" s="6">
        <f t="shared" si="12"/>
        <v>0</v>
      </c>
      <c r="G213" s="5"/>
      <c r="H213" s="5"/>
      <c r="I213" s="6">
        <f t="shared" si="14"/>
        <v>0</v>
      </c>
    </row>
    <row r="214" spans="1:9" ht="15">
      <c r="A214" s="15">
        <v>126</v>
      </c>
      <c r="B214" s="15">
        <v>30</v>
      </c>
      <c r="C214" s="23" t="s">
        <v>147</v>
      </c>
      <c r="D214" s="5"/>
      <c r="E214" s="5"/>
      <c r="F214" s="6">
        <f t="shared" si="12"/>
        <v>0</v>
      </c>
      <c r="G214" s="5"/>
      <c r="H214" s="5"/>
      <c r="I214" s="6">
        <f t="shared" si="14"/>
        <v>0</v>
      </c>
    </row>
    <row r="215" spans="1:9" ht="15">
      <c r="A215" s="15">
        <v>127</v>
      </c>
      <c r="B215" s="15">
        <v>31</v>
      </c>
      <c r="C215" s="23" t="s">
        <v>148</v>
      </c>
      <c r="D215" s="5">
        <f>960000+480000</f>
        <v>1440000</v>
      </c>
      <c r="E215" s="5"/>
      <c r="F215" s="6">
        <f t="shared" si="12"/>
        <v>1440000</v>
      </c>
      <c r="G215" s="5"/>
      <c r="H215" s="5"/>
      <c r="I215" s="6">
        <f t="shared" si="14"/>
        <v>0</v>
      </c>
    </row>
    <row r="216" spans="1:9" ht="15">
      <c r="A216" s="15">
        <v>128</v>
      </c>
      <c r="B216" s="15">
        <v>32</v>
      </c>
      <c r="C216" s="23" t="s">
        <v>149</v>
      </c>
      <c r="D216" s="5"/>
      <c r="E216" s="5"/>
      <c r="F216" s="6">
        <f t="shared" si="12"/>
        <v>0</v>
      </c>
      <c r="G216" s="5"/>
      <c r="H216" s="5"/>
      <c r="I216" s="6">
        <f t="shared" si="14"/>
        <v>0</v>
      </c>
    </row>
    <row r="217" spans="1:9" ht="15">
      <c r="A217" s="15">
        <v>129</v>
      </c>
      <c r="B217" s="15">
        <v>33</v>
      </c>
      <c r="C217" s="23" t="s">
        <v>150</v>
      </c>
      <c r="D217" s="5"/>
      <c r="E217" s="5">
        <v>84000</v>
      </c>
      <c r="F217" s="6">
        <f t="shared" si="12"/>
        <v>84000</v>
      </c>
      <c r="G217" s="5"/>
      <c r="H217" s="5">
        <v>84000</v>
      </c>
      <c r="I217" s="6">
        <f t="shared" si="14"/>
        <v>84000</v>
      </c>
    </row>
    <row r="218" spans="1:9" ht="15">
      <c r="A218" s="15">
        <v>130</v>
      </c>
      <c r="B218" s="15">
        <v>34</v>
      </c>
      <c r="C218" s="23" t="s">
        <v>151</v>
      </c>
      <c r="D218" s="5"/>
      <c r="E218" s="5"/>
      <c r="F218" s="6">
        <f t="shared" si="12"/>
        <v>0</v>
      </c>
      <c r="G218" s="5"/>
      <c r="H218" s="5"/>
      <c r="I218" s="6">
        <f t="shared" si="14"/>
        <v>0</v>
      </c>
    </row>
    <row r="219" spans="1:9" ht="15">
      <c r="A219" s="15">
        <v>131</v>
      </c>
      <c r="B219" s="15">
        <v>35</v>
      </c>
      <c r="C219" s="23" t="s">
        <v>152</v>
      </c>
      <c r="D219" s="5"/>
      <c r="E219" s="5"/>
      <c r="F219" s="6">
        <f t="shared" si="12"/>
        <v>0</v>
      </c>
      <c r="G219" s="5"/>
      <c r="H219" s="5"/>
      <c r="I219" s="6">
        <f t="shared" si="14"/>
        <v>0</v>
      </c>
    </row>
    <row r="220" spans="1:9" ht="15">
      <c r="A220" s="15">
        <v>132</v>
      </c>
      <c r="B220" s="15">
        <v>36</v>
      </c>
      <c r="C220" s="23" t="s">
        <v>153</v>
      </c>
      <c r="D220" s="5"/>
      <c r="E220" s="5"/>
      <c r="F220" s="6">
        <f t="shared" si="12"/>
        <v>0</v>
      </c>
      <c r="G220" s="5"/>
      <c r="H220" s="5"/>
      <c r="I220" s="6">
        <f t="shared" si="14"/>
        <v>0</v>
      </c>
    </row>
    <row r="221" spans="1:9" ht="15">
      <c r="A221" s="15">
        <v>133</v>
      </c>
      <c r="B221" s="15">
        <v>37</v>
      </c>
      <c r="C221" s="23" t="s">
        <v>154</v>
      </c>
      <c r="D221" s="5"/>
      <c r="E221" s="5"/>
      <c r="F221" s="6">
        <f t="shared" si="12"/>
        <v>0</v>
      </c>
      <c r="G221" s="5"/>
      <c r="H221" s="5"/>
      <c r="I221" s="6">
        <f t="shared" si="14"/>
        <v>0</v>
      </c>
    </row>
    <row r="222" spans="1:9" ht="15">
      <c r="A222" s="15">
        <v>134</v>
      </c>
      <c r="B222" s="15">
        <v>38</v>
      </c>
      <c r="C222" s="23" t="s">
        <v>155</v>
      </c>
      <c r="D222" s="5"/>
      <c r="E222" s="5"/>
      <c r="F222" s="6">
        <f t="shared" si="12"/>
        <v>0</v>
      </c>
      <c r="G222" s="5"/>
      <c r="H222" s="5"/>
      <c r="I222" s="6">
        <f t="shared" si="14"/>
        <v>0</v>
      </c>
    </row>
    <row r="223" spans="1:9" ht="15">
      <c r="A223" s="15">
        <v>135</v>
      </c>
      <c r="B223" s="15">
        <v>39</v>
      </c>
      <c r="C223" s="23" t="s">
        <v>156</v>
      </c>
      <c r="D223" s="5"/>
      <c r="E223" s="5">
        <v>330000</v>
      </c>
      <c r="F223" s="6">
        <f t="shared" si="12"/>
        <v>330000</v>
      </c>
      <c r="G223" s="5"/>
      <c r="H223" s="5">
        <v>330000</v>
      </c>
      <c r="I223" s="6">
        <f t="shared" si="14"/>
        <v>330000</v>
      </c>
    </row>
    <row r="224" spans="1:9" ht="15">
      <c r="A224" s="15">
        <v>136</v>
      </c>
      <c r="B224" s="15">
        <v>40</v>
      </c>
      <c r="C224" s="23" t="s">
        <v>157</v>
      </c>
      <c r="D224" s="5"/>
      <c r="E224" s="5"/>
      <c r="F224" s="6">
        <f t="shared" si="12"/>
        <v>0</v>
      </c>
      <c r="G224" s="5"/>
      <c r="H224" s="5"/>
      <c r="I224" s="6">
        <f t="shared" si="14"/>
        <v>0</v>
      </c>
    </row>
    <row r="225" spans="1:9" ht="15">
      <c r="A225" s="15">
        <v>137</v>
      </c>
      <c r="B225" s="15">
        <v>41</v>
      </c>
      <c r="C225" s="23" t="s">
        <v>158</v>
      </c>
      <c r="D225" s="5"/>
      <c r="E225" s="5"/>
      <c r="F225" s="6">
        <f t="shared" si="12"/>
        <v>0</v>
      </c>
      <c r="G225" s="5"/>
      <c r="H225" s="5"/>
      <c r="I225" s="6">
        <f t="shared" si="14"/>
        <v>0</v>
      </c>
    </row>
    <row r="226" spans="1:9" ht="15">
      <c r="A226" s="15">
        <v>138</v>
      </c>
      <c r="B226" s="15">
        <v>42</v>
      </c>
      <c r="C226" s="23" t="s">
        <v>159</v>
      </c>
      <c r="D226" s="5"/>
      <c r="E226" s="5"/>
      <c r="F226" s="6">
        <f t="shared" si="12"/>
        <v>0</v>
      </c>
      <c r="G226" s="5"/>
      <c r="H226" s="5"/>
      <c r="I226" s="6">
        <f t="shared" si="14"/>
        <v>0</v>
      </c>
    </row>
    <row r="227" spans="1:9" ht="15">
      <c r="A227" s="15">
        <v>139</v>
      </c>
      <c r="B227" s="15">
        <v>43</v>
      </c>
      <c r="C227" s="23" t="s">
        <v>160</v>
      </c>
      <c r="D227" s="5"/>
      <c r="E227" s="5">
        <v>220000</v>
      </c>
      <c r="F227" s="6">
        <f t="shared" si="12"/>
        <v>220000</v>
      </c>
      <c r="G227" s="5"/>
      <c r="H227" s="5"/>
      <c r="I227" s="6">
        <f t="shared" si="14"/>
        <v>0</v>
      </c>
    </row>
    <row r="228" spans="1:9" ht="15">
      <c r="A228" s="15">
        <v>140</v>
      </c>
      <c r="B228" s="15">
        <v>44</v>
      </c>
      <c r="C228" s="23" t="s">
        <v>161</v>
      </c>
      <c r="D228" s="5"/>
      <c r="E228" s="5"/>
      <c r="F228" s="6">
        <f t="shared" si="12"/>
        <v>0</v>
      </c>
      <c r="G228" s="5"/>
      <c r="H228" s="5"/>
      <c r="I228" s="6">
        <f t="shared" si="14"/>
        <v>0</v>
      </c>
    </row>
    <row r="229" spans="1:9" ht="15">
      <c r="A229" s="15">
        <v>141</v>
      </c>
      <c r="B229" s="15">
        <v>45</v>
      </c>
      <c r="C229" s="23" t="s">
        <v>246</v>
      </c>
      <c r="D229" s="5"/>
      <c r="E229" s="5"/>
      <c r="F229" s="6">
        <f>SUM(D229:E229)</f>
        <v>0</v>
      </c>
      <c r="G229" s="5"/>
      <c r="H229" s="5"/>
      <c r="I229" s="6">
        <f>SUM(G229:H229)</f>
        <v>0</v>
      </c>
    </row>
    <row r="230" spans="1:9" ht="15">
      <c r="A230" s="15">
        <v>142</v>
      </c>
      <c r="B230" s="15">
        <v>46</v>
      </c>
      <c r="C230" s="23" t="s">
        <v>169</v>
      </c>
      <c r="D230" s="5"/>
      <c r="E230" s="5"/>
      <c r="F230" s="6">
        <f>SUM(D230:E230)</f>
        <v>0</v>
      </c>
      <c r="G230" s="5"/>
      <c r="H230" s="5"/>
      <c r="I230" s="6">
        <f>SUM(G230:H230)</f>
        <v>0</v>
      </c>
    </row>
    <row r="231" spans="1:9" ht="15">
      <c r="A231" s="15">
        <v>143</v>
      </c>
      <c r="B231" s="15">
        <v>47</v>
      </c>
      <c r="C231" s="25" t="s">
        <v>170</v>
      </c>
      <c r="D231" s="5">
        <v>900000</v>
      </c>
      <c r="E231" s="5"/>
      <c r="F231" s="6">
        <f>SUM(D231:E231)</f>
        <v>900000</v>
      </c>
      <c r="G231" s="5">
        <v>900000</v>
      </c>
      <c r="H231" s="5"/>
      <c r="I231" s="6">
        <f>SUM(G231:H231)</f>
        <v>900000</v>
      </c>
    </row>
    <row r="232" spans="1:9" ht="15">
      <c r="A232" s="15">
        <v>144</v>
      </c>
      <c r="B232" s="15">
        <v>48</v>
      </c>
      <c r="C232" s="23" t="s">
        <v>162</v>
      </c>
      <c r="D232" s="5"/>
      <c r="E232" s="5"/>
      <c r="F232" s="6">
        <f t="shared" si="12"/>
        <v>0</v>
      </c>
      <c r="G232" s="5">
        <v>3000000</v>
      </c>
      <c r="H232" s="5"/>
      <c r="I232" s="6">
        <f t="shared" si="14"/>
        <v>3000000</v>
      </c>
    </row>
    <row r="233" spans="1:9" ht="15">
      <c r="A233" s="15">
        <v>145</v>
      </c>
      <c r="B233" s="15">
        <v>49</v>
      </c>
      <c r="C233" s="23" t="s">
        <v>165</v>
      </c>
      <c r="D233" s="5">
        <v>1000000</v>
      </c>
      <c r="E233" s="5"/>
      <c r="F233" s="6">
        <f t="shared" si="12"/>
        <v>1000000</v>
      </c>
      <c r="G233" s="5">
        <v>1000000</v>
      </c>
      <c r="H233" s="5"/>
      <c r="I233" s="6">
        <f t="shared" si="14"/>
        <v>1000000</v>
      </c>
    </row>
    <row r="234" spans="1:9" ht="15">
      <c r="A234" s="15">
        <v>146</v>
      </c>
      <c r="B234" s="15">
        <v>50</v>
      </c>
      <c r="C234" s="23" t="s">
        <v>166</v>
      </c>
      <c r="D234" s="5">
        <v>1500000</v>
      </c>
      <c r="E234" s="5"/>
      <c r="F234" s="6">
        <f t="shared" si="12"/>
        <v>1500000</v>
      </c>
      <c r="G234" s="5"/>
      <c r="H234" s="5"/>
      <c r="I234" s="6">
        <f t="shared" si="14"/>
        <v>0</v>
      </c>
    </row>
    <row r="235" spans="1:9" ht="15">
      <c r="A235" s="15">
        <v>147</v>
      </c>
      <c r="B235" s="15">
        <v>51</v>
      </c>
      <c r="C235" s="23" t="s">
        <v>167</v>
      </c>
      <c r="D235" s="5"/>
      <c r="E235" s="5"/>
      <c r="F235" s="6">
        <f t="shared" si="12"/>
        <v>0</v>
      </c>
      <c r="G235" s="5">
        <v>3400000</v>
      </c>
      <c r="H235" s="5"/>
      <c r="I235" s="6">
        <f t="shared" si="14"/>
        <v>3400000</v>
      </c>
    </row>
    <row r="236" spans="1:9" ht="15">
      <c r="A236" s="15">
        <v>148</v>
      </c>
      <c r="B236" s="15">
        <v>52</v>
      </c>
      <c r="C236" s="23" t="s">
        <v>168</v>
      </c>
      <c r="D236" s="5"/>
      <c r="E236" s="5"/>
      <c r="F236" s="6">
        <f t="shared" si="12"/>
        <v>0</v>
      </c>
      <c r="G236" s="5"/>
      <c r="H236" s="5"/>
      <c r="I236" s="6">
        <f t="shared" si="14"/>
        <v>0</v>
      </c>
    </row>
    <row r="237" spans="1:9" ht="15">
      <c r="A237" s="15">
        <v>149</v>
      </c>
      <c r="B237" s="15">
        <v>53</v>
      </c>
      <c r="C237" s="23" t="s">
        <v>163</v>
      </c>
      <c r="D237" s="5">
        <v>750000</v>
      </c>
      <c r="E237" s="5"/>
      <c r="F237" s="6">
        <f>SUM(D237:E237)</f>
        <v>750000</v>
      </c>
      <c r="G237" s="5">
        <v>750000</v>
      </c>
      <c r="H237" s="5"/>
      <c r="I237" s="6">
        <f>SUM(G237:H237)</f>
        <v>750000</v>
      </c>
    </row>
    <row r="238" spans="1:9" ht="15">
      <c r="A238" s="15">
        <v>150</v>
      </c>
      <c r="B238" s="15">
        <v>54</v>
      </c>
      <c r="C238" s="23" t="s">
        <v>164</v>
      </c>
      <c r="D238" s="5">
        <v>700000</v>
      </c>
      <c r="E238" s="5"/>
      <c r="F238" s="6">
        <f>SUM(D238:E238)</f>
        <v>700000</v>
      </c>
      <c r="G238" s="5">
        <v>350000</v>
      </c>
      <c r="H238" s="5"/>
      <c r="I238" s="6">
        <f>SUM(G238:H238)</f>
        <v>350000</v>
      </c>
    </row>
    <row r="239" spans="1:9" ht="15">
      <c r="A239" s="15">
        <v>151</v>
      </c>
      <c r="B239" s="15">
        <v>55</v>
      </c>
      <c r="C239" s="23" t="s">
        <v>247</v>
      </c>
      <c r="D239" s="5"/>
      <c r="E239" s="5"/>
      <c r="F239" s="6">
        <f>SUM(D239:E239)</f>
        <v>0</v>
      </c>
      <c r="G239" s="5"/>
      <c r="H239" s="5"/>
      <c r="I239" s="6">
        <f>SUM(G239:H239)</f>
        <v>0</v>
      </c>
    </row>
    <row r="240" spans="1:9" ht="15">
      <c r="A240" s="239" t="s">
        <v>5</v>
      </c>
      <c r="B240" s="239"/>
      <c r="C240" s="239"/>
      <c r="D240" s="7">
        <f>SUM(D185:D239)</f>
        <v>9973575</v>
      </c>
      <c r="E240" s="7">
        <f>SUM(E185:E236)</f>
        <v>5204200</v>
      </c>
      <c r="F240" s="7">
        <f>SUM(D240:E240)</f>
        <v>15177775</v>
      </c>
      <c r="G240" s="7">
        <f>SUM(G185:G239)</f>
        <v>11400975</v>
      </c>
      <c r="H240" s="7">
        <f>SUM(H185:H239)</f>
        <v>3201200</v>
      </c>
      <c r="I240" s="7">
        <f>SUM(G240:H240)</f>
        <v>14602175</v>
      </c>
    </row>
    <row r="241" spans="1:9" ht="15">
      <c r="A241" s="224" t="s">
        <v>171</v>
      </c>
      <c r="B241" s="225"/>
      <c r="C241" s="225"/>
      <c r="D241" s="225"/>
      <c r="E241" s="225"/>
      <c r="F241" s="225"/>
      <c r="G241" s="225"/>
      <c r="H241" s="225"/>
      <c r="I241" s="226"/>
    </row>
    <row r="242" spans="1:9" ht="15">
      <c r="A242" s="15">
        <v>152</v>
      </c>
      <c r="B242" s="15">
        <v>1</v>
      </c>
      <c r="C242" s="20" t="s">
        <v>172</v>
      </c>
      <c r="D242" s="5">
        <v>5490974</v>
      </c>
      <c r="E242" s="5">
        <v>1439500</v>
      </c>
      <c r="F242" s="6">
        <f>SUM(D242:E242)</f>
        <v>6930474</v>
      </c>
      <c r="G242" s="5">
        <v>5698674</v>
      </c>
      <c r="H242" s="5">
        <v>1379500</v>
      </c>
      <c r="I242" s="6">
        <f>SUM(G242:H242)</f>
        <v>7078174</v>
      </c>
    </row>
    <row r="243" spans="1:9" ht="15">
      <c r="A243" s="15">
        <v>153</v>
      </c>
      <c r="B243" s="79">
        <v>2</v>
      </c>
      <c r="C243" s="96" t="s">
        <v>250</v>
      </c>
      <c r="D243" s="5"/>
      <c r="E243" s="5"/>
      <c r="F243" s="6">
        <f>SUM(D243:E243)</f>
        <v>0</v>
      </c>
      <c r="G243" s="5"/>
      <c r="H243" s="5"/>
      <c r="I243" s="6">
        <f>SUM(G243:H243)</f>
        <v>0</v>
      </c>
    </row>
    <row r="244" spans="1:9" ht="15">
      <c r="A244" s="224" t="s">
        <v>42</v>
      </c>
      <c r="B244" s="225"/>
      <c r="C244" s="225"/>
      <c r="D244" s="7">
        <f>D242</f>
        <v>5490974</v>
      </c>
      <c r="E244" s="7">
        <f>E242</f>
        <v>1439500</v>
      </c>
      <c r="F244" s="7">
        <f>SUM(D244:E244)</f>
        <v>6930474</v>
      </c>
      <c r="G244" s="7">
        <f>SUM(G242:G243)</f>
        <v>5698674</v>
      </c>
      <c r="H244" s="7">
        <f>SUM(H242:H243)</f>
        <v>1379500</v>
      </c>
      <c r="I244" s="7">
        <f>SUM(G244:H244)</f>
        <v>7078174</v>
      </c>
    </row>
    <row r="245" spans="1:9" ht="15">
      <c r="A245" s="224" t="s">
        <v>173</v>
      </c>
      <c r="B245" s="225"/>
      <c r="C245" s="225"/>
      <c r="D245" s="225"/>
      <c r="E245" s="225"/>
      <c r="F245" s="225"/>
      <c r="G245" s="225"/>
      <c r="H245" s="225"/>
      <c r="I245" s="226"/>
    </row>
    <row r="246" spans="1:9" ht="15">
      <c r="A246" s="15">
        <v>154</v>
      </c>
      <c r="B246" s="15">
        <v>1</v>
      </c>
      <c r="C246" s="26" t="s">
        <v>174</v>
      </c>
      <c r="D246" s="5"/>
      <c r="E246" s="27"/>
      <c r="F246" s="6">
        <f>SUM(D246:E246)</f>
        <v>0</v>
      </c>
      <c r="G246" s="5"/>
      <c r="H246" s="27"/>
      <c r="I246" s="6">
        <f>SUM(G246:H246)</f>
        <v>0</v>
      </c>
    </row>
    <row r="247" spans="1:9" ht="15">
      <c r="A247" s="15">
        <v>155</v>
      </c>
      <c r="B247" s="15">
        <v>2</v>
      </c>
      <c r="C247" s="28" t="s">
        <v>175</v>
      </c>
      <c r="D247" s="5"/>
      <c r="E247" s="27">
        <v>1500000</v>
      </c>
      <c r="F247" s="6">
        <f>D247+E247</f>
        <v>1500000</v>
      </c>
      <c r="G247" s="5"/>
      <c r="H247" s="27">
        <v>1500000</v>
      </c>
      <c r="I247" s="6">
        <f>G247+H247</f>
        <v>1500000</v>
      </c>
    </row>
    <row r="248" spans="1:9" ht="15">
      <c r="A248" s="224" t="s">
        <v>42</v>
      </c>
      <c r="B248" s="225"/>
      <c r="C248" s="225"/>
      <c r="D248" s="7">
        <f>SUM(D246:D247)</f>
        <v>0</v>
      </c>
      <c r="E248" s="7">
        <f>SUM(E246:E247)</f>
        <v>1500000</v>
      </c>
      <c r="F248" s="7">
        <f>SUM(D248:E248)</f>
        <v>1500000</v>
      </c>
      <c r="G248" s="7">
        <f>SUM(G246:G247)</f>
        <v>0</v>
      </c>
      <c r="H248" s="7">
        <f>SUM(H246:H247)</f>
        <v>1500000</v>
      </c>
      <c r="I248" s="7">
        <f>SUM(G248:H248)</f>
        <v>1500000</v>
      </c>
    </row>
    <row r="249" spans="1:9" ht="15">
      <c r="A249" s="224" t="s">
        <v>176</v>
      </c>
      <c r="B249" s="225"/>
      <c r="C249" s="225"/>
      <c r="D249" s="225"/>
      <c r="E249" s="225"/>
      <c r="F249" s="225"/>
      <c r="G249" s="225"/>
      <c r="H249" s="225"/>
      <c r="I249" s="226"/>
    </row>
    <row r="250" spans="1:13" ht="15">
      <c r="A250" s="15">
        <v>156</v>
      </c>
      <c r="B250" s="15">
        <v>1</v>
      </c>
      <c r="C250" s="17" t="s">
        <v>177</v>
      </c>
      <c r="D250" s="5"/>
      <c r="E250" s="5"/>
      <c r="F250" s="6">
        <f>SUM(D250:E250)</f>
        <v>0</v>
      </c>
      <c r="G250" s="5"/>
      <c r="H250" s="5"/>
      <c r="I250" s="6">
        <f>SUM(G250:H250)</f>
        <v>0</v>
      </c>
      <c r="L250" s="83"/>
      <c r="M250" s="83"/>
    </row>
    <row r="251" spans="1:13" ht="15">
      <c r="A251" s="15">
        <v>157</v>
      </c>
      <c r="B251" s="15">
        <v>2</v>
      </c>
      <c r="C251" s="17" t="s">
        <v>178</v>
      </c>
      <c r="D251" s="5"/>
      <c r="E251" s="5"/>
      <c r="F251" s="6">
        <f aca="true" t="shared" si="15" ref="F251:F258">SUM(D251:E251)</f>
        <v>0</v>
      </c>
      <c r="G251" s="5"/>
      <c r="H251" s="5"/>
      <c r="I251" s="6">
        <f aca="true" t="shared" si="16" ref="I251:I258">SUM(G251:H251)</f>
        <v>0</v>
      </c>
      <c r="L251" s="16"/>
      <c r="M251" s="100"/>
    </row>
    <row r="252" spans="1:13" ht="15">
      <c r="A252" s="15">
        <v>158</v>
      </c>
      <c r="B252" s="15">
        <v>3</v>
      </c>
      <c r="C252" s="29" t="s">
        <v>179</v>
      </c>
      <c r="D252" s="5"/>
      <c r="E252" s="5"/>
      <c r="F252" s="6">
        <f t="shared" si="15"/>
        <v>0</v>
      </c>
      <c r="G252" s="5"/>
      <c r="H252" s="5"/>
      <c r="I252" s="6">
        <f t="shared" si="16"/>
        <v>0</v>
      </c>
      <c r="L252" s="16"/>
      <c r="M252" s="16"/>
    </row>
    <row r="253" spans="1:13" ht="15">
      <c r="A253" s="15">
        <v>159</v>
      </c>
      <c r="B253" s="15">
        <v>4</v>
      </c>
      <c r="C253" s="29" t="s">
        <v>254</v>
      </c>
      <c r="D253" s="5"/>
      <c r="E253" s="5"/>
      <c r="F253" s="6">
        <f t="shared" si="15"/>
        <v>0</v>
      </c>
      <c r="G253" s="5"/>
      <c r="H253" s="5"/>
      <c r="I253" s="6">
        <f t="shared" si="16"/>
        <v>0</v>
      </c>
      <c r="L253" s="16"/>
      <c r="M253" s="16"/>
    </row>
    <row r="254" spans="1:9" ht="15">
      <c r="A254" s="15">
        <v>160</v>
      </c>
      <c r="B254" s="15">
        <v>5</v>
      </c>
      <c r="C254" s="26" t="s">
        <v>220</v>
      </c>
      <c r="D254" s="5">
        <f>2089750+1000000</f>
        <v>3089750</v>
      </c>
      <c r="E254" s="5">
        <v>563000</v>
      </c>
      <c r="F254" s="6">
        <f t="shared" si="15"/>
        <v>3652750</v>
      </c>
      <c r="G254" s="5"/>
      <c r="H254" s="5">
        <v>400000</v>
      </c>
      <c r="I254" s="6">
        <f t="shared" si="16"/>
        <v>400000</v>
      </c>
    </row>
    <row r="255" spans="1:9" ht="15">
      <c r="A255" s="15">
        <v>161</v>
      </c>
      <c r="B255" s="15">
        <v>6</v>
      </c>
      <c r="C255" s="26" t="s">
        <v>221</v>
      </c>
      <c r="D255" s="5"/>
      <c r="E255" s="5"/>
      <c r="F255" s="6">
        <f t="shared" si="15"/>
        <v>0</v>
      </c>
      <c r="G255" s="5"/>
      <c r="H255" s="5"/>
      <c r="I255" s="6">
        <f t="shared" si="16"/>
        <v>0</v>
      </c>
    </row>
    <row r="256" spans="1:13" ht="15">
      <c r="A256" s="15">
        <v>162</v>
      </c>
      <c r="B256" s="15">
        <v>7</v>
      </c>
      <c r="C256" s="26" t="s">
        <v>222</v>
      </c>
      <c r="D256" s="5">
        <v>700000</v>
      </c>
      <c r="E256" s="5"/>
      <c r="F256" s="6">
        <f t="shared" si="15"/>
        <v>700000</v>
      </c>
      <c r="G256" s="5">
        <f>350000+70000</f>
        <v>420000</v>
      </c>
      <c r="H256" s="5"/>
      <c r="I256" s="6">
        <f t="shared" si="16"/>
        <v>420000</v>
      </c>
      <c r="K256" s="81"/>
      <c r="L256" s="82"/>
      <c r="M256" s="82"/>
    </row>
    <row r="257" spans="1:9" ht="15">
      <c r="A257" s="15">
        <v>163</v>
      </c>
      <c r="B257" s="15">
        <v>8</v>
      </c>
      <c r="C257" s="26" t="s">
        <v>223</v>
      </c>
      <c r="D257" s="5"/>
      <c r="E257" s="5"/>
      <c r="F257" s="6">
        <f t="shared" si="15"/>
        <v>0</v>
      </c>
      <c r="G257" s="5"/>
      <c r="H257" s="5"/>
      <c r="I257" s="6">
        <f t="shared" si="16"/>
        <v>0</v>
      </c>
    </row>
    <row r="258" spans="1:13" ht="15">
      <c r="A258" s="15">
        <v>164</v>
      </c>
      <c r="B258" s="15">
        <v>9</v>
      </c>
      <c r="C258" s="26" t="s">
        <v>256</v>
      </c>
      <c r="D258" s="5"/>
      <c r="E258" s="5"/>
      <c r="F258" s="6">
        <f t="shared" si="15"/>
        <v>0</v>
      </c>
      <c r="G258" s="5"/>
      <c r="H258" s="5"/>
      <c r="I258" s="6">
        <f t="shared" si="16"/>
        <v>0</v>
      </c>
      <c r="L258" s="83"/>
      <c r="M258" s="83"/>
    </row>
    <row r="259" spans="1:13" ht="15">
      <c r="A259" s="15">
        <v>165</v>
      </c>
      <c r="B259" s="15">
        <v>10</v>
      </c>
      <c r="C259" s="28" t="s">
        <v>186</v>
      </c>
      <c r="D259" s="5"/>
      <c r="E259" s="5"/>
      <c r="F259" s="6">
        <f>SUM(D259:E259)</f>
        <v>0</v>
      </c>
      <c r="G259" s="5"/>
      <c r="H259" s="5"/>
      <c r="I259" s="6">
        <f>SUM(G259:H259)</f>
        <v>0</v>
      </c>
      <c r="L259" s="16"/>
      <c r="M259" s="16"/>
    </row>
    <row r="260" spans="1:9" ht="15">
      <c r="A260" s="15">
        <v>166</v>
      </c>
      <c r="B260" s="15">
        <v>11</v>
      </c>
      <c r="C260" s="30" t="s">
        <v>185</v>
      </c>
      <c r="D260" s="5">
        <v>220000</v>
      </c>
      <c r="E260" s="5"/>
      <c r="F260" s="6">
        <f aca="true" t="shared" si="17" ref="F260:F269">SUM(D260:E260)</f>
        <v>220000</v>
      </c>
      <c r="G260" s="5">
        <v>220000</v>
      </c>
      <c r="H260" s="5"/>
      <c r="I260" s="6">
        <f aca="true" t="shared" si="18" ref="I260:I269">SUM(G260:H260)</f>
        <v>220000</v>
      </c>
    </row>
    <row r="261" spans="1:12" ht="15">
      <c r="A261" s="15">
        <v>167</v>
      </c>
      <c r="B261" s="15">
        <v>12</v>
      </c>
      <c r="C261" s="32" t="s">
        <v>308</v>
      </c>
      <c r="D261" s="31">
        <v>400000</v>
      </c>
      <c r="E261" s="27"/>
      <c r="F261" s="6">
        <f t="shared" si="17"/>
        <v>400000</v>
      </c>
      <c r="G261" s="31"/>
      <c r="H261" s="27"/>
      <c r="I261" s="6">
        <f t="shared" si="18"/>
        <v>0</v>
      </c>
      <c r="L261" s="16"/>
    </row>
    <row r="262" spans="1:9" ht="15">
      <c r="A262" s="15">
        <v>168</v>
      </c>
      <c r="B262" s="15">
        <v>13</v>
      </c>
      <c r="C262" s="32" t="s">
        <v>309</v>
      </c>
      <c r="D262" s="31">
        <v>70000</v>
      </c>
      <c r="E262" s="27"/>
      <c r="F262" s="6">
        <f t="shared" si="17"/>
        <v>70000</v>
      </c>
      <c r="G262" s="31"/>
      <c r="H262" s="27"/>
      <c r="I262" s="6">
        <f t="shared" si="18"/>
        <v>0</v>
      </c>
    </row>
    <row r="263" spans="1:9" ht="15">
      <c r="A263" s="15">
        <v>169</v>
      </c>
      <c r="B263" s="15">
        <v>14</v>
      </c>
      <c r="C263" s="32" t="s">
        <v>310</v>
      </c>
      <c r="D263" s="31"/>
      <c r="E263" s="27"/>
      <c r="F263" s="6">
        <f t="shared" si="17"/>
        <v>0</v>
      </c>
      <c r="G263" s="31"/>
      <c r="H263" s="27"/>
      <c r="I263" s="6">
        <f t="shared" si="18"/>
        <v>0</v>
      </c>
    </row>
    <row r="264" spans="1:9" ht="15">
      <c r="A264" s="15">
        <v>170</v>
      </c>
      <c r="B264" s="15">
        <v>15</v>
      </c>
      <c r="C264" s="32" t="s">
        <v>354</v>
      </c>
      <c r="D264" s="31">
        <v>500000</v>
      </c>
      <c r="E264" s="27"/>
      <c r="F264" s="6">
        <f t="shared" si="17"/>
        <v>500000</v>
      </c>
      <c r="G264" s="31"/>
      <c r="H264" s="27"/>
      <c r="I264" s="6">
        <f t="shared" si="18"/>
        <v>0</v>
      </c>
    </row>
    <row r="265" spans="1:9" ht="15">
      <c r="A265" s="15">
        <v>171</v>
      </c>
      <c r="B265" s="15">
        <v>16</v>
      </c>
      <c r="C265" s="32" t="s">
        <v>355</v>
      </c>
      <c r="D265" s="31">
        <v>175000</v>
      </c>
      <c r="E265" s="27"/>
      <c r="F265" s="6">
        <f t="shared" si="17"/>
        <v>175000</v>
      </c>
      <c r="G265" s="31">
        <v>175000</v>
      </c>
      <c r="H265" s="27"/>
      <c r="I265" s="6">
        <f t="shared" si="18"/>
        <v>175000</v>
      </c>
    </row>
    <row r="266" spans="1:9" ht="15">
      <c r="A266" s="15">
        <v>172</v>
      </c>
      <c r="B266" s="15">
        <v>17</v>
      </c>
      <c r="C266" s="32" t="s">
        <v>356</v>
      </c>
      <c r="D266" s="31">
        <v>200000</v>
      </c>
      <c r="E266" s="27"/>
      <c r="F266" s="6">
        <f t="shared" si="17"/>
        <v>200000</v>
      </c>
      <c r="G266" s="31"/>
      <c r="H266" s="27"/>
      <c r="I266" s="6">
        <f t="shared" si="18"/>
        <v>0</v>
      </c>
    </row>
    <row r="267" spans="1:9" ht="15">
      <c r="A267" s="15">
        <v>173</v>
      </c>
      <c r="B267" s="15">
        <v>18</v>
      </c>
      <c r="C267" s="32" t="s">
        <v>377</v>
      </c>
      <c r="D267" s="31">
        <v>151350</v>
      </c>
      <c r="E267" s="27"/>
      <c r="F267" s="6">
        <f t="shared" si="17"/>
        <v>151350</v>
      </c>
      <c r="G267" s="31">
        <v>152000</v>
      </c>
      <c r="H267" s="27"/>
      <c r="I267" s="91">
        <f t="shared" si="18"/>
        <v>152000</v>
      </c>
    </row>
    <row r="268" spans="1:9" ht="15">
      <c r="A268" s="15">
        <v>174</v>
      </c>
      <c r="B268" s="15">
        <v>19</v>
      </c>
      <c r="C268" s="32" t="s">
        <v>382</v>
      </c>
      <c r="D268" s="31"/>
      <c r="E268" s="27"/>
      <c r="F268" s="6">
        <f t="shared" si="17"/>
        <v>0</v>
      </c>
      <c r="G268" s="31">
        <v>150000</v>
      </c>
      <c r="H268" s="27"/>
      <c r="I268" s="91">
        <f t="shared" si="18"/>
        <v>150000</v>
      </c>
    </row>
    <row r="269" spans="1:9" ht="15">
      <c r="A269" s="15">
        <v>175</v>
      </c>
      <c r="B269" s="15">
        <v>20</v>
      </c>
      <c r="C269" s="32" t="s">
        <v>383</v>
      </c>
      <c r="D269" s="31"/>
      <c r="E269" s="27"/>
      <c r="F269" s="6">
        <f t="shared" si="17"/>
        <v>0</v>
      </c>
      <c r="G269" s="31"/>
      <c r="H269" s="27">
        <v>300000</v>
      </c>
      <c r="I269" s="91">
        <f t="shared" si="18"/>
        <v>300000</v>
      </c>
    </row>
    <row r="270" spans="1:9" ht="15.75" thickBot="1">
      <c r="A270" s="253" t="s">
        <v>42</v>
      </c>
      <c r="B270" s="254"/>
      <c r="C270" s="255"/>
      <c r="D270" s="33">
        <f>SUM(D250:D269)</f>
        <v>5506100</v>
      </c>
      <c r="E270" s="33">
        <f>SUM(E250:E269)</f>
        <v>563000</v>
      </c>
      <c r="F270" s="33">
        <f>SUM(D270:E270)</f>
        <v>6069100</v>
      </c>
      <c r="G270" s="33">
        <f>SUM(G250:G269)</f>
        <v>1117000</v>
      </c>
      <c r="H270" s="33">
        <f>SUM(H251:H269)</f>
        <v>700000</v>
      </c>
      <c r="I270" s="33">
        <f>SUM(G270:H270)</f>
        <v>1817000</v>
      </c>
    </row>
    <row r="271" spans="1:9" ht="16.5" thickBot="1" thickTop="1">
      <c r="A271" s="237" t="s">
        <v>190</v>
      </c>
      <c r="B271" s="238"/>
      <c r="C271" s="238"/>
      <c r="D271" s="34">
        <f>D270+D248+D244+D240+D183+D158+D136+D114+D111+D108+D86+D76+D73</f>
        <v>85910846</v>
      </c>
      <c r="E271" s="34">
        <f>E270+E248+E244+E240+E183+E158+E136+E114+E111+E108+E86+E76+E73</f>
        <v>42212343</v>
      </c>
      <c r="F271" s="34">
        <f>SUM(D271:E271)</f>
        <v>128123189</v>
      </c>
      <c r="G271" s="34">
        <f>G270+G248+G244+G240+G183+G158+G136+G114+G111+G108+G86+G76+G73</f>
        <v>133524566</v>
      </c>
      <c r="H271" s="34">
        <f>H270+H248+H244+H240+H183+H158+H136+H114+H111+H108+H86+H76+H73</f>
        <v>45449767</v>
      </c>
      <c r="I271" s="34">
        <f>SUM(G271:H271)</f>
        <v>178974333</v>
      </c>
    </row>
    <row r="272" spans="1:10" ht="6.75" customHeight="1" thickTop="1">
      <c r="A272" s="35"/>
      <c r="B272" s="35"/>
      <c r="C272" s="35"/>
      <c r="D272" s="36"/>
      <c r="E272" s="36"/>
      <c r="F272" s="36"/>
      <c r="G272" s="36"/>
      <c r="H272" s="36"/>
      <c r="I272" s="36"/>
      <c r="J272" s="37"/>
    </row>
    <row r="273" spans="1:8" ht="15">
      <c r="A273" s="39"/>
      <c r="B273" s="39"/>
      <c r="C273" s="39"/>
      <c r="D273" s="38"/>
      <c r="E273" s="38"/>
      <c r="G273" s="38" t="s">
        <v>381</v>
      </c>
      <c r="H273" s="38"/>
    </row>
    <row r="274" spans="1:8" ht="15">
      <c r="A274" s="39"/>
      <c r="B274" s="39"/>
      <c r="C274" s="38" t="s">
        <v>199</v>
      </c>
      <c r="D274" s="38"/>
      <c r="E274" s="38"/>
      <c r="G274" s="240" t="s">
        <v>349</v>
      </c>
      <c r="H274" s="240"/>
    </row>
    <row r="275" spans="1:8" ht="15">
      <c r="A275" s="39"/>
      <c r="B275" s="39"/>
      <c r="C275" s="39"/>
      <c r="D275" s="39"/>
      <c r="E275" s="39"/>
      <c r="G275" s="39"/>
      <c r="H275" s="39"/>
    </row>
    <row r="276" spans="1:8" ht="15">
      <c r="A276" s="39"/>
      <c r="B276" s="61"/>
      <c r="C276" s="272" t="s">
        <v>866</v>
      </c>
      <c r="D276" s="39"/>
      <c r="E276" s="39"/>
      <c r="G276" s="270" t="s">
        <v>866</v>
      </c>
      <c r="H276" s="39"/>
    </row>
    <row r="277" spans="1:9" ht="15">
      <c r="A277" s="39"/>
      <c r="B277" s="61"/>
      <c r="C277" s="38" t="s">
        <v>269</v>
      </c>
      <c r="D277" s="62"/>
      <c r="E277" s="62"/>
      <c r="F277" s="240" t="s">
        <v>350</v>
      </c>
      <c r="G277" s="240"/>
      <c r="H277" s="240"/>
      <c r="I277" s="240"/>
    </row>
    <row r="278" spans="1:12" ht="15">
      <c r="A278" s="35"/>
      <c r="B278" s="35"/>
      <c r="C278" s="35"/>
      <c r="D278" s="36"/>
      <c r="E278" s="36"/>
      <c r="F278" s="36"/>
      <c r="G278" s="36"/>
      <c r="H278" s="36"/>
      <c r="I278" s="36"/>
      <c r="J278" s="37"/>
      <c r="L278" s="16"/>
    </row>
    <row r="279" spans="1:9" ht="15">
      <c r="A279" s="240" t="s">
        <v>198</v>
      </c>
      <c r="B279" s="240"/>
      <c r="C279" s="240"/>
      <c r="D279" s="240"/>
      <c r="E279" s="240"/>
      <c r="F279" s="240"/>
      <c r="G279" s="240"/>
      <c r="H279" s="240"/>
      <c r="I279" s="240"/>
    </row>
    <row r="280" spans="1:9" ht="15">
      <c r="A280" s="240" t="s">
        <v>380</v>
      </c>
      <c r="B280" s="240"/>
      <c r="C280" s="240"/>
      <c r="D280" s="240"/>
      <c r="E280" s="240"/>
      <c r="F280" s="240"/>
      <c r="G280" s="240"/>
      <c r="H280" s="240"/>
      <c r="I280" s="240"/>
    </row>
    <row r="281" spans="1:9" ht="15">
      <c r="A281" s="38" t="s">
        <v>192</v>
      </c>
      <c r="B281" s="72" t="s">
        <v>195</v>
      </c>
      <c r="C281" s="38"/>
      <c r="D281" s="38"/>
      <c r="E281" s="38"/>
      <c r="F281" s="38"/>
      <c r="G281" s="38"/>
      <c r="H281" s="38"/>
      <c r="I281" s="38"/>
    </row>
    <row r="282" spans="1:9" ht="15">
      <c r="A282" s="40"/>
      <c r="B282" s="243" t="s">
        <v>2</v>
      </c>
      <c r="C282" s="247" t="s">
        <v>193</v>
      </c>
      <c r="D282" s="248"/>
      <c r="E282" s="248"/>
      <c r="F282" s="248"/>
      <c r="G282" s="248"/>
      <c r="H282" s="249"/>
      <c r="I282" s="85" t="s">
        <v>42</v>
      </c>
    </row>
    <row r="283" spans="1:9" ht="15">
      <c r="A283" s="39"/>
      <c r="B283" s="244"/>
      <c r="C283" s="250"/>
      <c r="D283" s="251"/>
      <c r="E283" s="251"/>
      <c r="F283" s="251"/>
      <c r="G283" s="251"/>
      <c r="H283" s="252"/>
      <c r="I283" s="84" t="s">
        <v>194</v>
      </c>
    </row>
    <row r="284" spans="1:9" ht="15">
      <c r="A284" s="39"/>
      <c r="B284" s="70">
        <v>1</v>
      </c>
      <c r="C284" s="45" t="s">
        <v>339</v>
      </c>
      <c r="D284" s="60"/>
      <c r="E284" s="60"/>
      <c r="F284" s="69"/>
      <c r="G284" s="60"/>
      <c r="H284" s="60"/>
      <c r="I284" s="59"/>
    </row>
    <row r="285" spans="1:9" ht="15">
      <c r="A285" s="39"/>
      <c r="B285" s="70"/>
      <c r="C285" s="45" t="s">
        <v>404</v>
      </c>
      <c r="D285" s="60"/>
      <c r="E285" s="60"/>
      <c r="F285" s="69"/>
      <c r="G285" s="60"/>
      <c r="H285" s="60"/>
      <c r="I285" s="59">
        <v>6565900</v>
      </c>
    </row>
    <row r="286" spans="1:9" ht="15">
      <c r="A286" s="39"/>
      <c r="B286" s="70">
        <v>2</v>
      </c>
      <c r="C286" s="45" t="s">
        <v>388</v>
      </c>
      <c r="D286" s="60"/>
      <c r="E286" s="60"/>
      <c r="F286" s="69"/>
      <c r="G286" s="60"/>
      <c r="H286" s="60"/>
      <c r="I286" s="59"/>
    </row>
    <row r="287" spans="1:9" ht="15">
      <c r="A287" s="39"/>
      <c r="B287" s="70"/>
      <c r="C287" s="45" t="s">
        <v>476</v>
      </c>
      <c r="D287" s="60"/>
      <c r="E287" s="60"/>
      <c r="F287" s="69"/>
      <c r="G287" s="60"/>
      <c r="H287" s="60"/>
      <c r="I287" s="59">
        <v>75000000</v>
      </c>
    </row>
    <row r="288" spans="1:10" ht="15">
      <c r="A288" s="39"/>
      <c r="B288" s="70">
        <v>3</v>
      </c>
      <c r="C288" s="45" t="s">
        <v>389</v>
      </c>
      <c r="D288" s="60"/>
      <c r="E288" s="60"/>
      <c r="F288" s="69"/>
      <c r="G288" s="60"/>
      <c r="H288" s="60"/>
      <c r="I288" s="59"/>
      <c r="J288" s="88"/>
    </row>
    <row r="289" spans="1:10" ht="15">
      <c r="A289" s="39"/>
      <c r="B289" s="70"/>
      <c r="C289" s="45" t="s">
        <v>477</v>
      </c>
      <c r="D289" s="60"/>
      <c r="E289" s="60"/>
      <c r="F289" s="69"/>
      <c r="G289" s="60"/>
      <c r="H289" s="60"/>
      <c r="I289" s="59">
        <f>2500000-24000</f>
        <v>2476000</v>
      </c>
      <c r="J289" s="88"/>
    </row>
    <row r="290" spans="1:10" ht="15">
      <c r="A290" s="39"/>
      <c r="B290" s="70"/>
      <c r="C290" s="45" t="s">
        <v>478</v>
      </c>
      <c r="D290" s="60"/>
      <c r="E290" s="60"/>
      <c r="F290" s="69"/>
      <c r="G290" s="60"/>
      <c r="H290" s="60"/>
      <c r="I290" s="54">
        <f>2500000-190250</f>
        <v>2309750</v>
      </c>
      <c r="J290" s="88"/>
    </row>
    <row r="291" spans="1:9" ht="15">
      <c r="A291" s="39"/>
      <c r="B291" s="41"/>
      <c r="C291" s="45" t="s">
        <v>479</v>
      </c>
      <c r="D291" s="42"/>
      <c r="E291" s="42"/>
      <c r="F291" s="63"/>
      <c r="G291" s="42"/>
      <c r="H291" s="43"/>
      <c r="I291" s="44">
        <f>50000000+100000</f>
        <v>50100000</v>
      </c>
    </row>
    <row r="292" spans="1:9" ht="15">
      <c r="A292" s="39"/>
      <c r="B292" s="41">
        <v>4</v>
      </c>
      <c r="C292" s="45" t="s">
        <v>429</v>
      </c>
      <c r="D292" s="42"/>
      <c r="E292" s="42"/>
      <c r="F292" s="63"/>
      <c r="G292" s="42"/>
      <c r="H292" s="43"/>
      <c r="I292" s="44"/>
    </row>
    <row r="293" spans="1:9" ht="15">
      <c r="A293" s="39"/>
      <c r="B293" s="41"/>
      <c r="C293" s="45" t="s">
        <v>484</v>
      </c>
      <c r="D293" s="42"/>
      <c r="E293" s="42"/>
      <c r="F293" s="63"/>
      <c r="G293" s="42"/>
      <c r="H293" s="43"/>
      <c r="I293" s="44">
        <v>5000000</v>
      </c>
    </row>
    <row r="294" spans="1:9" ht="15">
      <c r="A294" s="39"/>
      <c r="B294" s="41"/>
      <c r="C294" s="45" t="s">
        <v>485</v>
      </c>
      <c r="D294" s="42"/>
      <c r="E294" s="42"/>
      <c r="F294" s="63"/>
      <c r="G294" s="42"/>
      <c r="H294" s="43"/>
      <c r="I294" s="44">
        <v>5000000</v>
      </c>
    </row>
    <row r="295" spans="1:9" ht="15">
      <c r="A295" s="39"/>
      <c r="B295" s="41">
        <v>5</v>
      </c>
      <c r="C295" s="45" t="s">
        <v>480</v>
      </c>
      <c r="D295" s="42"/>
      <c r="E295" s="42"/>
      <c r="F295" s="63"/>
      <c r="G295" s="42"/>
      <c r="H295" s="43"/>
      <c r="I295" s="44">
        <v>50000000</v>
      </c>
    </row>
    <row r="296" spans="1:11" ht="15">
      <c r="A296" s="39"/>
      <c r="B296" s="41">
        <v>6</v>
      </c>
      <c r="C296" s="55" t="s">
        <v>360</v>
      </c>
      <c r="D296" s="52"/>
      <c r="E296" s="52"/>
      <c r="F296" s="63"/>
      <c r="G296" s="52"/>
      <c r="H296" s="53"/>
      <c r="I296" s="92">
        <v>70000</v>
      </c>
      <c r="K296" t="s">
        <v>198</v>
      </c>
    </row>
    <row r="297" spans="1:9" ht="15">
      <c r="A297" s="56"/>
      <c r="B297" s="241" t="s">
        <v>5</v>
      </c>
      <c r="C297" s="245"/>
      <c r="D297" s="245"/>
      <c r="E297" s="245"/>
      <c r="F297" s="66"/>
      <c r="G297" s="66"/>
      <c r="H297" s="67"/>
      <c r="I297" s="57">
        <f>SUM(I284:I296)</f>
        <v>196521650</v>
      </c>
    </row>
    <row r="298" spans="1:9" ht="15">
      <c r="A298" s="58"/>
      <c r="B298" s="58"/>
      <c r="C298" s="58"/>
      <c r="D298" s="58"/>
      <c r="E298" s="58"/>
      <c r="F298" s="58"/>
      <c r="G298" s="73"/>
      <c r="H298" s="73"/>
      <c r="I298" s="58"/>
    </row>
    <row r="299" spans="1:9" ht="15">
      <c r="A299" s="74" t="s">
        <v>196</v>
      </c>
      <c r="B299" s="75" t="s">
        <v>197</v>
      </c>
      <c r="C299" s="75"/>
      <c r="D299" s="58"/>
      <c r="E299" s="58"/>
      <c r="F299" s="58"/>
      <c r="G299" s="58"/>
      <c r="H299" s="58"/>
      <c r="I299" s="58"/>
    </row>
    <row r="300" spans="1:9" ht="15">
      <c r="A300" s="40"/>
      <c r="B300" s="243" t="s">
        <v>2</v>
      </c>
      <c r="C300" s="248" t="s">
        <v>193</v>
      </c>
      <c r="D300" s="248"/>
      <c r="E300" s="248"/>
      <c r="F300" s="248"/>
      <c r="G300" s="248"/>
      <c r="H300" s="249"/>
      <c r="I300" s="85" t="s">
        <v>42</v>
      </c>
    </row>
    <row r="301" spans="1:9" ht="15">
      <c r="A301" s="58"/>
      <c r="B301" s="244"/>
      <c r="C301" s="251"/>
      <c r="D301" s="251"/>
      <c r="E301" s="251"/>
      <c r="F301" s="251"/>
      <c r="G301" s="251"/>
      <c r="H301" s="252"/>
      <c r="I301" s="84" t="s">
        <v>194</v>
      </c>
    </row>
    <row r="302" spans="1:9" ht="15">
      <c r="A302" s="58"/>
      <c r="B302" s="70">
        <v>1</v>
      </c>
      <c r="C302" s="45" t="s">
        <v>339</v>
      </c>
      <c r="D302" s="42"/>
      <c r="E302" s="42"/>
      <c r="F302" s="69"/>
      <c r="G302" s="42"/>
      <c r="H302" s="42"/>
      <c r="I302" s="59"/>
    </row>
    <row r="303" spans="1:9" ht="15">
      <c r="A303" s="58"/>
      <c r="B303" s="70"/>
      <c r="C303" s="45" t="s">
        <v>384</v>
      </c>
      <c r="D303" s="42"/>
      <c r="E303" s="42"/>
      <c r="F303" s="69"/>
      <c r="G303" s="42"/>
      <c r="H303" s="42"/>
      <c r="I303" s="102">
        <f>1487280</f>
        <v>1487280</v>
      </c>
    </row>
    <row r="304" spans="1:10" ht="15">
      <c r="A304" s="58"/>
      <c r="B304" s="70"/>
      <c r="C304" s="45" t="s">
        <v>362</v>
      </c>
      <c r="D304" s="42"/>
      <c r="E304" s="42"/>
      <c r="F304" s="69"/>
      <c r="G304" s="42"/>
      <c r="H304" s="42"/>
      <c r="I304" s="99">
        <v>406800</v>
      </c>
      <c r="J304" s="88"/>
    </row>
    <row r="305" spans="1:10" ht="15">
      <c r="A305" s="58"/>
      <c r="B305" s="70"/>
      <c r="C305" s="45" t="s">
        <v>397</v>
      </c>
      <c r="D305" s="42"/>
      <c r="E305" s="42"/>
      <c r="F305" s="69"/>
      <c r="G305" s="42"/>
      <c r="H305" s="42"/>
      <c r="I305" s="99">
        <v>1131400</v>
      </c>
      <c r="J305" s="88"/>
    </row>
    <row r="306" spans="1:10" ht="15">
      <c r="A306" s="58"/>
      <c r="B306" s="70"/>
      <c r="C306" s="45" t="s">
        <v>398</v>
      </c>
      <c r="D306" s="42"/>
      <c r="E306" s="42"/>
      <c r="F306" s="69"/>
      <c r="G306" s="42"/>
      <c r="H306" s="42"/>
      <c r="I306" s="99">
        <v>829200</v>
      </c>
      <c r="J306" s="88"/>
    </row>
    <row r="307" spans="1:10" ht="15">
      <c r="A307" s="58"/>
      <c r="B307" s="70"/>
      <c r="C307" s="45" t="s">
        <v>399</v>
      </c>
      <c r="D307" s="42"/>
      <c r="E307" s="42"/>
      <c r="F307" s="69"/>
      <c r="G307" s="42"/>
      <c r="H307" s="42"/>
      <c r="I307" s="99">
        <v>389750</v>
      </c>
      <c r="J307" s="88"/>
    </row>
    <row r="308" spans="1:10" ht="15">
      <c r="A308" s="58"/>
      <c r="B308" s="70"/>
      <c r="C308" s="45" t="s">
        <v>400</v>
      </c>
      <c r="D308" s="42"/>
      <c r="E308" s="42"/>
      <c r="F308" s="69"/>
      <c r="G308" s="42"/>
      <c r="H308" s="42"/>
      <c r="I308" s="99">
        <v>940000</v>
      </c>
      <c r="J308" s="88"/>
    </row>
    <row r="309" spans="1:9" ht="15">
      <c r="A309" s="58"/>
      <c r="B309" s="70">
        <v>2</v>
      </c>
      <c r="C309" s="45" t="s">
        <v>486</v>
      </c>
      <c r="D309" s="42"/>
      <c r="E309" s="42"/>
      <c r="F309" s="69"/>
      <c r="G309" s="42"/>
      <c r="H309" s="42"/>
      <c r="I309" s="99">
        <v>3797500</v>
      </c>
    </row>
    <row r="310" spans="1:9" ht="15">
      <c r="A310" s="58"/>
      <c r="B310" s="70">
        <v>3</v>
      </c>
      <c r="C310" s="45" t="s">
        <v>385</v>
      </c>
      <c r="D310" s="60"/>
      <c r="E310" s="60"/>
      <c r="F310" s="69"/>
      <c r="G310" s="60"/>
      <c r="H310" s="60"/>
      <c r="I310" s="99"/>
    </row>
    <row r="311" spans="1:9" ht="15">
      <c r="A311" s="58"/>
      <c r="B311" s="70"/>
      <c r="C311" s="45" t="s">
        <v>386</v>
      </c>
      <c r="D311" s="60"/>
      <c r="E311" s="60"/>
      <c r="F311" s="69"/>
      <c r="G311" s="60"/>
      <c r="H311" s="60"/>
      <c r="I311" s="99">
        <v>1087000</v>
      </c>
    </row>
    <row r="312" spans="1:9" ht="15">
      <c r="A312" s="58"/>
      <c r="B312" s="70"/>
      <c r="C312" s="45" t="s">
        <v>393</v>
      </c>
      <c r="D312" s="60"/>
      <c r="E312" s="60"/>
      <c r="F312" s="69"/>
      <c r="G312" s="60"/>
      <c r="H312" s="60"/>
      <c r="I312" s="99">
        <v>400000</v>
      </c>
    </row>
    <row r="313" spans="1:9" ht="15">
      <c r="A313" s="58"/>
      <c r="B313" s="70"/>
      <c r="C313" s="45" t="s">
        <v>394</v>
      </c>
      <c r="D313" s="60"/>
      <c r="E313" s="60"/>
      <c r="F313" s="69"/>
      <c r="G313" s="60"/>
      <c r="H313" s="60"/>
      <c r="I313" s="99">
        <v>350000</v>
      </c>
    </row>
    <row r="314" spans="1:9" ht="15">
      <c r="A314" s="58"/>
      <c r="B314" s="70"/>
      <c r="C314" s="45" t="s">
        <v>487</v>
      </c>
      <c r="D314" s="60"/>
      <c r="E314" s="60"/>
      <c r="F314" s="69"/>
      <c r="G314" s="60"/>
      <c r="H314" s="60"/>
      <c r="I314" s="99">
        <f>3300000+4500000</f>
        <v>7800000</v>
      </c>
    </row>
    <row r="315" spans="1:9" ht="15">
      <c r="A315" s="58"/>
      <c r="B315" s="70">
        <v>4</v>
      </c>
      <c r="C315" s="45" t="s">
        <v>387</v>
      </c>
      <c r="D315" s="60"/>
      <c r="E315" s="60"/>
      <c r="F315" s="69"/>
      <c r="G315" s="60"/>
      <c r="H315" s="60"/>
      <c r="I315" s="99">
        <f>20000000-4775000</f>
        <v>15225000</v>
      </c>
    </row>
    <row r="316" spans="1:9" ht="15">
      <c r="A316" s="58"/>
      <c r="B316" s="70">
        <v>5</v>
      </c>
      <c r="C316" s="45" t="s">
        <v>390</v>
      </c>
      <c r="D316" s="60"/>
      <c r="E316" s="60"/>
      <c r="F316" s="69"/>
      <c r="G316" s="60"/>
      <c r="H316" s="60"/>
      <c r="I316" s="99"/>
    </row>
    <row r="317" spans="1:9" ht="15">
      <c r="A317" s="58"/>
      <c r="B317" s="70"/>
      <c r="C317" s="45" t="s">
        <v>488</v>
      </c>
      <c r="D317" s="60"/>
      <c r="E317" s="60"/>
      <c r="F317" s="69"/>
      <c r="G317" s="60"/>
      <c r="H317" s="60"/>
      <c r="I317" s="99">
        <v>500000</v>
      </c>
    </row>
    <row r="318" spans="1:9" ht="15">
      <c r="A318" s="58"/>
      <c r="B318" s="70"/>
      <c r="C318" s="45" t="s">
        <v>391</v>
      </c>
      <c r="D318" s="60"/>
      <c r="E318" s="60"/>
      <c r="F318" s="69"/>
      <c r="G318" s="60"/>
      <c r="H318" s="60"/>
      <c r="I318" s="99">
        <v>1739000</v>
      </c>
    </row>
    <row r="319" spans="1:9" ht="15">
      <c r="A319" s="58"/>
      <c r="B319" s="70"/>
      <c r="C319" s="45" t="s">
        <v>489</v>
      </c>
      <c r="D319" s="60"/>
      <c r="E319" s="60"/>
      <c r="F319" s="69"/>
      <c r="G319" s="60"/>
      <c r="H319" s="60"/>
      <c r="I319" s="99">
        <v>1000000</v>
      </c>
    </row>
    <row r="320" spans="1:9" ht="15">
      <c r="A320" s="58"/>
      <c r="B320" s="70">
        <v>6</v>
      </c>
      <c r="C320" s="45" t="s">
        <v>392</v>
      </c>
      <c r="D320" s="60"/>
      <c r="E320" s="60"/>
      <c r="F320" s="69"/>
      <c r="G320" s="60"/>
      <c r="H320" s="60"/>
      <c r="I320" s="99">
        <f>20000000-20000</f>
        <v>19980000</v>
      </c>
    </row>
    <row r="321" spans="1:9" ht="15">
      <c r="A321" s="58"/>
      <c r="B321" s="70">
        <v>7</v>
      </c>
      <c r="C321" s="45" t="s">
        <v>395</v>
      </c>
      <c r="D321" s="60"/>
      <c r="E321" s="60"/>
      <c r="F321" s="69"/>
      <c r="G321" s="60"/>
      <c r="H321" s="60"/>
      <c r="I321" s="99"/>
    </row>
    <row r="322" spans="1:9" ht="15">
      <c r="A322" s="58"/>
      <c r="B322" s="70"/>
      <c r="C322" s="45" t="s">
        <v>874</v>
      </c>
      <c r="D322" s="60"/>
      <c r="E322" s="60"/>
      <c r="F322" s="69"/>
      <c r="G322" s="60"/>
      <c r="H322" s="60"/>
      <c r="I322" s="99">
        <v>550000</v>
      </c>
    </row>
    <row r="323" spans="1:9" ht="15">
      <c r="A323" s="58"/>
      <c r="B323" s="70"/>
      <c r="C323" s="45" t="s">
        <v>396</v>
      </c>
      <c r="D323" s="60"/>
      <c r="E323" s="60"/>
      <c r="F323" s="69"/>
      <c r="G323" s="60"/>
      <c r="H323" s="60"/>
      <c r="I323" s="99">
        <v>880000</v>
      </c>
    </row>
    <row r="324" spans="1:9" ht="15">
      <c r="A324" s="58"/>
      <c r="B324" s="70">
        <v>8</v>
      </c>
      <c r="C324" s="45" t="s">
        <v>875</v>
      </c>
      <c r="D324" s="60"/>
      <c r="E324" s="60"/>
      <c r="F324" s="69"/>
      <c r="G324" s="60"/>
      <c r="H324" s="60"/>
      <c r="I324" s="99">
        <f>75000+375000</f>
        <v>450000</v>
      </c>
    </row>
    <row r="325" spans="1:9" ht="15">
      <c r="A325" s="58"/>
      <c r="B325" s="70">
        <v>9</v>
      </c>
      <c r="C325" s="45" t="s">
        <v>401</v>
      </c>
      <c r="D325" s="60"/>
      <c r="E325" s="60"/>
      <c r="F325" s="69"/>
      <c r="G325" s="60"/>
      <c r="H325" s="60"/>
      <c r="I325" s="99"/>
    </row>
    <row r="326" spans="1:10" ht="15">
      <c r="A326" s="58"/>
      <c r="B326" s="70"/>
      <c r="C326" s="45" t="s">
        <v>402</v>
      </c>
      <c r="D326" s="60"/>
      <c r="E326" s="60"/>
      <c r="F326" s="69"/>
      <c r="G326" s="60"/>
      <c r="H326" s="60"/>
      <c r="I326" s="99">
        <v>2880000</v>
      </c>
      <c r="J326" s="88"/>
    </row>
    <row r="327" spans="1:9" ht="15">
      <c r="A327" s="58"/>
      <c r="B327" s="70"/>
      <c r="C327" s="45" t="s">
        <v>403</v>
      </c>
      <c r="D327" s="60"/>
      <c r="E327" s="60"/>
      <c r="F327" s="69"/>
      <c r="G327" s="60"/>
      <c r="H327" s="60"/>
      <c r="I327" s="99">
        <f>6120000-115000</f>
        <v>6005000</v>
      </c>
    </row>
    <row r="328" spans="1:9" ht="15">
      <c r="A328" s="58"/>
      <c r="B328" s="70">
        <v>10</v>
      </c>
      <c r="C328" s="89" t="s">
        <v>232</v>
      </c>
      <c r="D328" s="60"/>
      <c r="E328" s="60"/>
      <c r="F328" s="69"/>
      <c r="G328" s="60"/>
      <c r="H328" s="60"/>
      <c r="I328" s="99">
        <f>370000</f>
        <v>370000</v>
      </c>
    </row>
    <row r="329" spans="1:9" ht="15">
      <c r="A329" s="56"/>
      <c r="B329" s="241" t="s">
        <v>5</v>
      </c>
      <c r="C329" s="245"/>
      <c r="D329" s="245"/>
      <c r="E329" s="245"/>
      <c r="F329" s="65"/>
      <c r="G329" s="65"/>
      <c r="H329" s="71"/>
      <c r="I329" s="57">
        <f>SUM(I302:I328)</f>
        <v>68197930</v>
      </c>
    </row>
    <row r="330" spans="1:9" ht="15">
      <c r="A330" s="39"/>
      <c r="B330" s="39"/>
      <c r="C330" s="39"/>
      <c r="D330" s="39"/>
      <c r="E330" s="39"/>
      <c r="F330" s="39" t="s">
        <v>198</v>
      </c>
      <c r="G330" s="39"/>
      <c r="H330" s="39"/>
      <c r="I330" s="39" t="s">
        <v>198</v>
      </c>
    </row>
    <row r="331" spans="1:8" ht="15">
      <c r="A331" s="39"/>
      <c r="B331" s="39"/>
      <c r="C331" s="39"/>
      <c r="D331" s="38"/>
      <c r="E331" s="38"/>
      <c r="G331" s="38" t="s">
        <v>381</v>
      </c>
      <c r="H331" s="38"/>
    </row>
    <row r="332" spans="1:8" ht="15">
      <c r="A332" s="39"/>
      <c r="B332" s="39"/>
      <c r="C332" s="38" t="s">
        <v>199</v>
      </c>
      <c r="D332" s="38"/>
      <c r="E332" s="38"/>
      <c r="G332" s="240" t="s">
        <v>268</v>
      </c>
      <c r="H332" s="240"/>
    </row>
    <row r="333" spans="1:8" ht="15">
      <c r="A333" s="39"/>
      <c r="B333" s="39"/>
      <c r="C333" s="39"/>
      <c r="D333" s="39"/>
      <c r="E333" s="39"/>
      <c r="G333" s="39"/>
      <c r="H333" s="39"/>
    </row>
    <row r="334" spans="1:8" ht="15">
      <c r="A334" s="39"/>
      <c r="B334" s="61"/>
      <c r="C334" s="272" t="s">
        <v>866</v>
      </c>
      <c r="D334" s="39"/>
      <c r="E334" s="39"/>
      <c r="G334" s="270" t="s">
        <v>866</v>
      </c>
      <c r="H334" s="39"/>
    </row>
    <row r="335" spans="1:9" ht="15">
      <c r="A335" s="39"/>
      <c r="B335" s="61"/>
      <c r="C335" s="38" t="s">
        <v>269</v>
      </c>
      <c r="D335" s="62"/>
      <c r="E335" s="62"/>
      <c r="F335" s="240" t="s">
        <v>351</v>
      </c>
      <c r="G335" s="240"/>
      <c r="H335" s="240"/>
      <c r="I335" s="240"/>
    </row>
    <row r="336" spans="6:9" ht="15">
      <c r="F336" s="240"/>
      <c r="G336" s="240"/>
      <c r="H336" s="240"/>
      <c r="I336" s="240"/>
    </row>
  </sheetData>
  <sheetProtection/>
  <mergeCells count="69">
    <mergeCell ref="E54:F54"/>
    <mergeCell ref="E52:F52"/>
    <mergeCell ref="E55:F55"/>
    <mergeCell ref="A8:B8"/>
    <mergeCell ref="A9:B9"/>
    <mergeCell ref="A10:B10"/>
    <mergeCell ref="E24:F24"/>
    <mergeCell ref="B25:B26"/>
    <mergeCell ref="C25:C26"/>
    <mergeCell ref="D25:D26"/>
    <mergeCell ref="E25:E26"/>
    <mergeCell ref="F25:F26"/>
    <mergeCell ref="A1:F1"/>
    <mergeCell ref="A2:F2"/>
    <mergeCell ref="A3:F3"/>
    <mergeCell ref="A4:F4"/>
    <mergeCell ref="A5:F5"/>
    <mergeCell ref="E7:F7"/>
    <mergeCell ref="G332:H332"/>
    <mergeCell ref="F335:I335"/>
    <mergeCell ref="F336:I336"/>
    <mergeCell ref="B282:B283"/>
    <mergeCell ref="C282:H283"/>
    <mergeCell ref="B297:E297"/>
    <mergeCell ref="B300:B301"/>
    <mergeCell ref="C300:H301"/>
    <mergeCell ref="B329:E329"/>
    <mergeCell ref="A249:I249"/>
    <mergeCell ref="A270:C270"/>
    <mergeCell ref="A271:C271"/>
    <mergeCell ref="G274:H274"/>
    <mergeCell ref="F277:I277"/>
    <mergeCell ref="A279:I279"/>
    <mergeCell ref="A137:I137"/>
    <mergeCell ref="A158:C158"/>
    <mergeCell ref="A159:I159"/>
    <mergeCell ref="A183:C183"/>
    <mergeCell ref="A280:I280"/>
    <mergeCell ref="A240:C240"/>
    <mergeCell ref="A241:I241"/>
    <mergeCell ref="A244:C244"/>
    <mergeCell ref="A245:I245"/>
    <mergeCell ref="A248:C248"/>
    <mergeCell ref="A86:C86"/>
    <mergeCell ref="A87:I87"/>
    <mergeCell ref="A108:C108"/>
    <mergeCell ref="A184:I184"/>
    <mergeCell ref="A109:I109"/>
    <mergeCell ref="A111:C111"/>
    <mergeCell ref="A112:I112"/>
    <mergeCell ref="A114:C114"/>
    <mergeCell ref="A115:I115"/>
    <mergeCell ref="A136:C136"/>
    <mergeCell ref="G68:H68"/>
    <mergeCell ref="A70:I70"/>
    <mergeCell ref="A73:C73"/>
    <mergeCell ref="A74:I74"/>
    <mergeCell ref="A76:C76"/>
    <mergeCell ref="A77:I77"/>
    <mergeCell ref="A63:I63"/>
    <mergeCell ref="A64:I64"/>
    <mergeCell ref="A65:I65"/>
    <mergeCell ref="A67:A69"/>
    <mergeCell ref="B67:C69"/>
    <mergeCell ref="D67:E67"/>
    <mergeCell ref="F67:F69"/>
    <mergeCell ref="G67:H67"/>
    <mergeCell ref="I67:I69"/>
    <mergeCell ref="D68:E68"/>
  </mergeCells>
  <printOptions horizontalCentered="1"/>
  <pageMargins left="0.1968503937007874" right="0.1968503937007874" top="0.43" bottom="1.1" header="0.31496062992125984" footer="0.31496062992125984"/>
  <pageSetup orientation="portrait" paperSize="5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4"/>
  <sheetViews>
    <sheetView tabSelected="1" zoomScalePageLayoutView="0" workbookViewId="0" topLeftCell="A285">
      <selection activeCell="B13" sqref="B13:B18"/>
    </sheetView>
  </sheetViews>
  <sheetFormatPr defaultColWidth="11.00390625" defaultRowHeight="15"/>
  <cols>
    <col min="1" max="1" width="5.140625" style="0" bestFit="1" customWidth="1"/>
    <col min="2" max="2" width="4.28125" style="0" bestFit="1" customWidth="1"/>
    <col min="3" max="3" width="31.57421875" style="0" customWidth="1"/>
    <col min="4" max="4" width="18.7109375" style="0" customWidth="1"/>
    <col min="5" max="6" width="20.7109375" style="0" customWidth="1"/>
    <col min="7" max="9" width="16.7109375" style="0" customWidth="1"/>
    <col min="10" max="10" width="14.7109375" style="0" customWidth="1"/>
    <col min="11" max="11" width="17.8515625" style="0" customWidth="1"/>
    <col min="12" max="12" width="17.7109375" style="0" customWidth="1"/>
    <col min="13" max="13" width="16.57421875" style="0" bestFit="1" customWidth="1"/>
    <col min="14" max="14" width="11.57421875" style="0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809</v>
      </c>
      <c r="F7" s="259"/>
    </row>
    <row r="8" spans="1:6" ht="18.75">
      <c r="A8" s="246" t="s">
        <v>748</v>
      </c>
      <c r="B8" s="246"/>
      <c r="C8" s="136" t="s">
        <v>810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200"/>
      <c r="F20" s="200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869</v>
      </c>
      <c r="C22" s="135"/>
      <c r="D22" s="135"/>
      <c r="E22" s="135"/>
      <c r="F22" s="137"/>
    </row>
    <row r="23" spans="2:6" ht="18.75">
      <c r="B23" s="135" t="s">
        <v>811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812</v>
      </c>
      <c r="D29" s="147"/>
      <c r="E29" s="147"/>
      <c r="F29" s="148">
        <f>'[1]Mei'!F28</f>
        <v>1986662359</v>
      </c>
    </row>
    <row r="30" spans="1:6" ht="18.75">
      <c r="A30" s="140"/>
      <c r="B30" s="145"/>
      <c r="C30" s="146" t="s">
        <v>813</v>
      </c>
      <c r="D30" s="200">
        <v>102341507</v>
      </c>
      <c r="E30" s="150"/>
      <c r="F30" s="147"/>
    </row>
    <row r="31" spans="1:6" ht="18.75">
      <c r="A31" s="140"/>
      <c r="B31" s="145"/>
      <c r="C31" s="146" t="s">
        <v>814</v>
      </c>
      <c r="D31" s="147"/>
      <c r="E31" s="199">
        <v>470794352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1618209514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812</v>
      </c>
      <c r="D34" s="157"/>
      <c r="E34" s="158"/>
      <c r="F34" s="157">
        <f>'[1]maret'!F33</f>
        <v>2675000</v>
      </c>
    </row>
    <row r="35" spans="1:6" ht="18.75">
      <c r="A35" s="140"/>
      <c r="B35" s="145"/>
      <c r="C35" s="146" t="s">
        <v>813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814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102341507</v>
      </c>
      <c r="E38" s="160">
        <f>E31+E36</f>
        <v>470794352</v>
      </c>
      <c r="F38" s="161">
        <f>F32+F37</f>
        <v>1620884514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812</v>
      </c>
      <c r="D41" s="147"/>
      <c r="E41" s="166"/>
      <c r="F41" s="160">
        <f>'[1]Mei'!F40</f>
        <v>1198324673</v>
      </c>
    </row>
    <row r="42" spans="1:6" ht="18.75">
      <c r="A42" s="167"/>
      <c r="B42" s="145"/>
      <c r="C42" s="146" t="s">
        <v>813</v>
      </c>
      <c r="D42" s="200">
        <v>44114623</v>
      </c>
      <c r="E42" s="168"/>
      <c r="F42" s="166"/>
    </row>
    <row r="43" spans="1:6" ht="18.75">
      <c r="A43" s="140"/>
      <c r="B43" s="145"/>
      <c r="C43" s="146" t="s">
        <v>814</v>
      </c>
      <c r="D43" s="150"/>
      <c r="E43" s="196">
        <v>82370688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1160068608</v>
      </c>
    </row>
    <row r="45" spans="1:6" ht="18.75">
      <c r="A45" s="140"/>
      <c r="B45" s="145"/>
      <c r="C45" s="171" t="s">
        <v>815</v>
      </c>
      <c r="D45" s="172">
        <f>D30+D42</f>
        <v>146456130</v>
      </c>
      <c r="E45" s="172">
        <f>E31+E43</f>
        <v>553165040</v>
      </c>
      <c r="F45" s="173">
        <f>F38+F44</f>
        <v>2780953122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79"/>
    </row>
    <row r="49" spans="1:6" ht="18.75">
      <c r="A49" s="175"/>
      <c r="B49" s="176" t="s">
        <v>773</v>
      </c>
      <c r="C49" s="137"/>
      <c r="D49" s="177"/>
      <c r="E49" s="137"/>
      <c r="F49" s="180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3" spans="1:9" ht="22.5">
      <c r="A63" s="206" t="s">
        <v>0</v>
      </c>
      <c r="B63" s="206"/>
      <c r="C63" s="206"/>
      <c r="D63" s="206"/>
      <c r="E63" s="206"/>
      <c r="F63" s="206"/>
      <c r="G63" s="206"/>
      <c r="H63" s="206"/>
      <c r="I63" s="206"/>
    </row>
    <row r="64" spans="1:9" ht="22.5">
      <c r="A64" s="206" t="s">
        <v>1</v>
      </c>
      <c r="B64" s="206"/>
      <c r="C64" s="206"/>
      <c r="D64" s="206"/>
      <c r="E64" s="206"/>
      <c r="F64" s="206"/>
      <c r="G64" s="206"/>
      <c r="H64" s="206"/>
      <c r="I64" s="206"/>
    </row>
    <row r="65" spans="1:9" ht="20.25">
      <c r="A65" s="207" t="s">
        <v>406</v>
      </c>
      <c r="B65" s="207"/>
      <c r="C65" s="207"/>
      <c r="D65" s="207"/>
      <c r="E65" s="207"/>
      <c r="F65" s="207"/>
      <c r="G65" s="207"/>
      <c r="H65" s="207"/>
      <c r="I65" s="207"/>
    </row>
    <row r="66" spans="1:9" ht="15.75" thickBot="1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Top="1">
      <c r="A67" s="208" t="s">
        <v>2</v>
      </c>
      <c r="B67" s="211" t="s">
        <v>3</v>
      </c>
      <c r="C67" s="267"/>
      <c r="D67" s="217" t="s">
        <v>4</v>
      </c>
      <c r="E67" s="218"/>
      <c r="F67" s="219" t="s">
        <v>5</v>
      </c>
      <c r="G67" s="217" t="s">
        <v>4</v>
      </c>
      <c r="H67" s="218"/>
      <c r="I67" s="219" t="s">
        <v>5</v>
      </c>
    </row>
    <row r="68" spans="1:9" ht="15">
      <c r="A68" s="209"/>
      <c r="B68" s="213"/>
      <c r="C68" s="268"/>
      <c r="D68" s="222" t="s">
        <v>379</v>
      </c>
      <c r="E68" s="223"/>
      <c r="F68" s="220"/>
      <c r="G68" s="222" t="s">
        <v>490</v>
      </c>
      <c r="H68" s="223"/>
      <c r="I68" s="220"/>
    </row>
    <row r="69" spans="1:12" ht="15">
      <c r="A69" s="210"/>
      <c r="B69" s="215"/>
      <c r="C69" s="269"/>
      <c r="D69" s="2" t="s">
        <v>6</v>
      </c>
      <c r="E69" s="2" t="s">
        <v>7</v>
      </c>
      <c r="F69" s="221"/>
      <c r="G69" s="2" t="s">
        <v>6</v>
      </c>
      <c r="H69" s="2" t="s">
        <v>7</v>
      </c>
      <c r="I69" s="221"/>
      <c r="L69" t="s">
        <v>198</v>
      </c>
    </row>
    <row r="70" spans="1:9" ht="15">
      <c r="A70" s="230" t="s">
        <v>8</v>
      </c>
      <c r="B70" s="231"/>
      <c r="C70" s="231"/>
      <c r="D70" s="231"/>
      <c r="E70" s="231"/>
      <c r="F70" s="231"/>
      <c r="G70" s="231"/>
      <c r="H70" s="231"/>
      <c r="I70" s="232"/>
    </row>
    <row r="71" spans="1:9" ht="15">
      <c r="A71" s="80">
        <v>1</v>
      </c>
      <c r="B71" s="3">
        <v>1</v>
      </c>
      <c r="C71" s="4" t="s">
        <v>9</v>
      </c>
      <c r="D71" s="5"/>
      <c r="E71" s="5"/>
      <c r="F71" s="6">
        <f>SUM(D71:E71)</f>
        <v>0</v>
      </c>
      <c r="G71" s="5"/>
      <c r="H71" s="5"/>
      <c r="I71" s="6">
        <f>SUM(G71:H71)</f>
        <v>0</v>
      </c>
    </row>
    <row r="72" spans="1:9" ht="15">
      <c r="A72" s="80">
        <v>2</v>
      </c>
      <c r="B72" s="3">
        <v>2</v>
      </c>
      <c r="C72" s="4" t="s">
        <v>10</v>
      </c>
      <c r="D72" s="5"/>
      <c r="E72" s="5"/>
      <c r="F72" s="6">
        <f>SUM(D72:E72)</f>
        <v>0</v>
      </c>
      <c r="G72" s="5"/>
      <c r="H72" s="5"/>
      <c r="I72" s="6">
        <f>SUM(G72:H72)</f>
        <v>0</v>
      </c>
    </row>
    <row r="73" spans="1:9" ht="15">
      <c r="A73" s="224" t="s">
        <v>5</v>
      </c>
      <c r="B73" s="225"/>
      <c r="C73" s="225"/>
      <c r="D73" s="7">
        <f>SUM(D71:D72)</f>
        <v>0</v>
      </c>
      <c r="E73" s="8">
        <f>SUM(E71:E72)</f>
        <v>0</v>
      </c>
      <c r="F73" s="7">
        <f>SUM(D73:E73)</f>
        <v>0</v>
      </c>
      <c r="G73" s="7">
        <f>SUM(G71:G72)</f>
        <v>0</v>
      </c>
      <c r="H73" s="8">
        <f>SUM(H71:H72)</f>
        <v>0</v>
      </c>
      <c r="I73" s="7">
        <f>SUM(G73:H73)</f>
        <v>0</v>
      </c>
    </row>
    <row r="74" spans="1:9" ht="15">
      <c r="A74" s="227" t="s">
        <v>11</v>
      </c>
      <c r="B74" s="228"/>
      <c r="C74" s="228"/>
      <c r="D74" s="228"/>
      <c r="E74" s="228"/>
      <c r="F74" s="228"/>
      <c r="G74" s="228"/>
      <c r="H74" s="228"/>
      <c r="I74" s="229"/>
    </row>
    <row r="75" spans="1:9" ht="15">
      <c r="A75" s="9">
        <v>3</v>
      </c>
      <c r="B75" s="9">
        <v>1</v>
      </c>
      <c r="C75" s="10" t="s">
        <v>12</v>
      </c>
      <c r="D75" s="5">
        <v>2080214</v>
      </c>
      <c r="E75" s="5"/>
      <c r="F75" s="6">
        <f>SUM(D75:E75)</f>
        <v>2080214</v>
      </c>
      <c r="G75" s="5">
        <v>2080214</v>
      </c>
      <c r="H75" s="5"/>
      <c r="I75" s="6">
        <f>SUM(G75:H75)</f>
        <v>2080214</v>
      </c>
    </row>
    <row r="76" spans="1:9" ht="15">
      <c r="A76" s="224" t="s">
        <v>5</v>
      </c>
      <c r="B76" s="225"/>
      <c r="C76" s="225"/>
      <c r="D76" s="7">
        <f>SUM(D74:D75)</f>
        <v>2080214</v>
      </c>
      <c r="E76" s="8">
        <f>SUM(E74:E75)</f>
        <v>0</v>
      </c>
      <c r="F76" s="7">
        <f>SUM(D76:E76)</f>
        <v>2080214</v>
      </c>
      <c r="G76" s="7">
        <f>SUM(G74:G75)</f>
        <v>2080214</v>
      </c>
      <c r="H76" s="8">
        <f>SUM(H74:H75)</f>
        <v>0</v>
      </c>
      <c r="I76" s="7">
        <f>SUM(G76:H76)</f>
        <v>2080214</v>
      </c>
    </row>
    <row r="77" spans="1:9" ht="15">
      <c r="A77" s="224" t="s">
        <v>13</v>
      </c>
      <c r="B77" s="225"/>
      <c r="C77" s="225"/>
      <c r="D77" s="225"/>
      <c r="E77" s="225"/>
      <c r="F77" s="225"/>
      <c r="G77" s="225"/>
      <c r="H77" s="225"/>
      <c r="I77" s="226"/>
    </row>
    <row r="78" spans="1:9" ht="15">
      <c r="A78" s="11">
        <v>4</v>
      </c>
      <c r="B78" s="12">
        <v>1</v>
      </c>
      <c r="C78" s="95" t="s">
        <v>312</v>
      </c>
      <c r="D78" s="5">
        <f>2345000</f>
        <v>2345000</v>
      </c>
      <c r="E78" s="5">
        <v>509000</v>
      </c>
      <c r="F78" s="6">
        <f aca="true" t="shared" si="0" ref="F78:F86">SUM(D78:E78)</f>
        <v>2854000</v>
      </c>
      <c r="G78" s="5">
        <v>2345000</v>
      </c>
      <c r="H78" s="5">
        <v>509000</v>
      </c>
      <c r="I78" s="6">
        <f aca="true" t="shared" si="1" ref="I78:I85">SUM(G78:H78)</f>
        <v>2854000</v>
      </c>
    </row>
    <row r="79" spans="1:9" ht="15">
      <c r="A79" s="11">
        <v>5</v>
      </c>
      <c r="B79" s="12">
        <v>2</v>
      </c>
      <c r="C79" s="13" t="s">
        <v>234</v>
      </c>
      <c r="D79" s="5">
        <v>1737689</v>
      </c>
      <c r="E79" s="5">
        <v>220550</v>
      </c>
      <c r="F79" s="6">
        <f t="shared" si="0"/>
        <v>1958239</v>
      </c>
      <c r="G79" s="5">
        <v>1737689</v>
      </c>
      <c r="H79" s="5">
        <v>220550</v>
      </c>
      <c r="I79" s="6">
        <f t="shared" si="1"/>
        <v>1958239</v>
      </c>
    </row>
    <row r="80" spans="1:9" ht="15">
      <c r="A80" s="11">
        <v>6</v>
      </c>
      <c r="B80" s="12">
        <v>3</v>
      </c>
      <c r="C80" s="13" t="s">
        <v>15</v>
      </c>
      <c r="D80" s="5">
        <v>2527350</v>
      </c>
      <c r="E80" s="14">
        <v>112100</v>
      </c>
      <c r="F80" s="6">
        <f t="shared" si="0"/>
        <v>2639450</v>
      </c>
      <c r="G80" s="5">
        <v>2527350</v>
      </c>
      <c r="H80" s="14">
        <v>112100</v>
      </c>
      <c r="I80" s="6">
        <f t="shared" si="1"/>
        <v>2639450</v>
      </c>
    </row>
    <row r="81" spans="1:9" ht="15">
      <c r="A81" s="11">
        <v>7</v>
      </c>
      <c r="B81" s="12">
        <v>4</v>
      </c>
      <c r="C81" s="13" t="s">
        <v>16</v>
      </c>
      <c r="D81" s="5"/>
      <c r="E81" s="5"/>
      <c r="F81" s="6">
        <f t="shared" si="0"/>
        <v>0</v>
      </c>
      <c r="G81" s="5"/>
      <c r="H81" s="5"/>
      <c r="I81" s="6">
        <f t="shared" si="1"/>
        <v>0</v>
      </c>
    </row>
    <row r="82" spans="1:9" ht="15">
      <c r="A82" s="11">
        <v>8</v>
      </c>
      <c r="B82" s="12">
        <v>5</v>
      </c>
      <c r="C82" s="13" t="s">
        <v>17</v>
      </c>
      <c r="D82" s="5"/>
      <c r="E82" s="5"/>
      <c r="F82" s="6">
        <f t="shared" si="0"/>
        <v>0</v>
      </c>
      <c r="G82" s="5"/>
      <c r="H82" s="5"/>
      <c r="I82" s="6">
        <f t="shared" si="1"/>
        <v>0</v>
      </c>
    </row>
    <row r="83" spans="1:9" ht="15">
      <c r="A83" s="11">
        <v>9</v>
      </c>
      <c r="B83" s="12">
        <v>6</v>
      </c>
      <c r="C83" s="13" t="s">
        <v>18</v>
      </c>
      <c r="D83" s="5"/>
      <c r="E83" s="5"/>
      <c r="F83" s="6">
        <f t="shared" si="0"/>
        <v>0</v>
      </c>
      <c r="G83" s="5"/>
      <c r="H83" s="5"/>
      <c r="I83" s="6">
        <f t="shared" si="1"/>
        <v>0</v>
      </c>
    </row>
    <row r="84" spans="1:9" ht="15">
      <c r="A84" s="11">
        <v>10</v>
      </c>
      <c r="B84" s="12">
        <v>7</v>
      </c>
      <c r="C84" s="15" t="s">
        <v>19</v>
      </c>
      <c r="D84" s="5">
        <v>297278</v>
      </c>
      <c r="E84" s="5">
        <v>58000</v>
      </c>
      <c r="F84" s="6">
        <f t="shared" si="0"/>
        <v>355278</v>
      </c>
      <c r="G84" s="5">
        <v>297278</v>
      </c>
      <c r="H84" s="5">
        <v>58000</v>
      </c>
      <c r="I84" s="6">
        <f t="shared" si="1"/>
        <v>355278</v>
      </c>
    </row>
    <row r="85" spans="1:9" ht="15">
      <c r="A85" s="90">
        <v>11</v>
      </c>
      <c r="B85" s="12">
        <v>8</v>
      </c>
      <c r="C85" s="13" t="s">
        <v>307</v>
      </c>
      <c r="D85" s="5"/>
      <c r="E85" s="5">
        <v>365000</v>
      </c>
      <c r="F85" s="6">
        <f t="shared" si="0"/>
        <v>365000</v>
      </c>
      <c r="G85" s="5">
        <v>2465706</v>
      </c>
      <c r="H85" s="5">
        <v>361000</v>
      </c>
      <c r="I85" s="6">
        <f t="shared" si="1"/>
        <v>2826706</v>
      </c>
    </row>
    <row r="86" spans="1:11" ht="15">
      <c r="A86" s="224" t="s">
        <v>5</v>
      </c>
      <c r="B86" s="225"/>
      <c r="C86" s="225"/>
      <c r="D86" s="7">
        <f>SUM(D78:D85)</f>
        <v>6907317</v>
      </c>
      <c r="E86" s="7">
        <f>SUM(E78:E85)</f>
        <v>1264650</v>
      </c>
      <c r="F86" s="7">
        <f t="shared" si="0"/>
        <v>8171967</v>
      </c>
      <c r="G86" s="7">
        <f>SUM(G78:G85)</f>
        <v>9373023</v>
      </c>
      <c r="H86" s="7">
        <f>SUM(H78:H85)</f>
        <v>1260650</v>
      </c>
      <c r="I86" s="7">
        <f>SUM(G86:H86)</f>
        <v>10633673</v>
      </c>
      <c r="K86" s="16"/>
    </row>
    <row r="87" spans="1:9" ht="15">
      <c r="A87" s="224" t="s">
        <v>20</v>
      </c>
      <c r="B87" s="225"/>
      <c r="C87" s="225"/>
      <c r="D87" s="225"/>
      <c r="E87" s="225"/>
      <c r="F87" s="225"/>
      <c r="G87" s="225"/>
      <c r="H87" s="225"/>
      <c r="I87" s="226"/>
    </row>
    <row r="88" spans="1:9" ht="15">
      <c r="A88" s="17">
        <v>12</v>
      </c>
      <c r="B88" s="15">
        <v>1</v>
      </c>
      <c r="C88" s="13" t="s">
        <v>255</v>
      </c>
      <c r="D88" s="5">
        <v>2249663</v>
      </c>
      <c r="E88" s="18">
        <v>1337215</v>
      </c>
      <c r="F88" s="6">
        <f aca="true" t="shared" si="2" ref="F88:F108">SUM(D88:E88)</f>
        <v>3586878</v>
      </c>
      <c r="G88" s="5">
        <v>2249663</v>
      </c>
      <c r="H88" s="18">
        <v>1336215</v>
      </c>
      <c r="I88" s="6">
        <f aca="true" t="shared" si="3" ref="I88:I109">SUM(G88:H88)</f>
        <v>3585878</v>
      </c>
    </row>
    <row r="89" spans="1:9" ht="15">
      <c r="A89" s="17">
        <v>13</v>
      </c>
      <c r="B89" s="15">
        <v>2</v>
      </c>
      <c r="C89" s="13" t="s">
        <v>21</v>
      </c>
      <c r="D89" s="5">
        <v>3833045</v>
      </c>
      <c r="E89" s="5">
        <v>5050000</v>
      </c>
      <c r="F89" s="6">
        <f t="shared" si="2"/>
        <v>8883045</v>
      </c>
      <c r="G89" s="5">
        <v>3833045</v>
      </c>
      <c r="H89" s="5">
        <v>5055000</v>
      </c>
      <c r="I89" s="6">
        <f t="shared" si="3"/>
        <v>8888045</v>
      </c>
    </row>
    <row r="90" spans="1:9" ht="15">
      <c r="A90" s="17">
        <v>14</v>
      </c>
      <c r="B90" s="15">
        <v>3</v>
      </c>
      <c r="C90" s="13" t="s">
        <v>22</v>
      </c>
      <c r="D90" s="5">
        <v>2043750</v>
      </c>
      <c r="E90" s="5">
        <v>562000</v>
      </c>
      <c r="F90" s="6">
        <f t="shared" si="2"/>
        <v>2605750</v>
      </c>
      <c r="G90" s="5">
        <v>2043750</v>
      </c>
      <c r="H90" s="5">
        <v>561000</v>
      </c>
      <c r="I90" s="6">
        <f t="shared" si="3"/>
        <v>2604750</v>
      </c>
    </row>
    <row r="91" spans="1:9" ht="15">
      <c r="A91" s="17">
        <v>15</v>
      </c>
      <c r="B91" s="15">
        <v>4</v>
      </c>
      <c r="C91" s="13" t="s">
        <v>253</v>
      </c>
      <c r="D91" s="5">
        <v>675786</v>
      </c>
      <c r="E91" s="5">
        <v>758785</v>
      </c>
      <c r="F91" s="6">
        <f t="shared" si="2"/>
        <v>1434571</v>
      </c>
      <c r="G91" s="5">
        <v>680373</v>
      </c>
      <c r="H91" s="5">
        <v>733785</v>
      </c>
      <c r="I91" s="6">
        <f t="shared" si="3"/>
        <v>1414158</v>
      </c>
    </row>
    <row r="92" spans="1:9" ht="15">
      <c r="A92" s="17">
        <v>16</v>
      </c>
      <c r="B92" s="15">
        <v>5</v>
      </c>
      <c r="C92" s="13" t="s">
        <v>24</v>
      </c>
      <c r="D92" s="5">
        <v>2113600</v>
      </c>
      <c r="E92" s="5">
        <v>85000</v>
      </c>
      <c r="F92" s="6">
        <f t="shared" si="2"/>
        <v>2198600</v>
      </c>
      <c r="G92" s="5">
        <v>2113600</v>
      </c>
      <c r="H92" s="5">
        <v>85000</v>
      </c>
      <c r="I92" s="6">
        <f t="shared" si="3"/>
        <v>2198600</v>
      </c>
    </row>
    <row r="93" spans="1:9" ht="15">
      <c r="A93" s="17">
        <v>17</v>
      </c>
      <c r="B93" s="15">
        <v>6</v>
      </c>
      <c r="C93" s="13" t="s">
        <v>25</v>
      </c>
      <c r="D93" s="5">
        <v>2040000</v>
      </c>
      <c r="E93" s="5">
        <v>476000</v>
      </c>
      <c r="F93" s="6">
        <f t="shared" si="2"/>
        <v>2516000</v>
      </c>
      <c r="G93" s="5">
        <v>2030000</v>
      </c>
      <c r="H93" s="5">
        <v>476000</v>
      </c>
      <c r="I93" s="6">
        <f t="shared" si="3"/>
        <v>2506000</v>
      </c>
    </row>
    <row r="94" spans="1:9" ht="15">
      <c r="A94" s="17">
        <v>18</v>
      </c>
      <c r="B94" s="15">
        <v>7</v>
      </c>
      <c r="C94" s="95" t="s">
        <v>26</v>
      </c>
      <c r="D94" s="5">
        <f>3946700+1195500</f>
        <v>5142200</v>
      </c>
      <c r="E94" s="5">
        <f>182550+300000</f>
        <v>482550</v>
      </c>
      <c r="F94" s="6">
        <f t="shared" si="2"/>
        <v>5624750</v>
      </c>
      <c r="G94" s="5">
        <v>3946700</v>
      </c>
      <c r="H94" s="5">
        <v>182550</v>
      </c>
      <c r="I94" s="6">
        <f t="shared" si="3"/>
        <v>4129250</v>
      </c>
    </row>
    <row r="95" spans="1:9" ht="15">
      <c r="A95" s="17">
        <v>19</v>
      </c>
      <c r="B95" s="15">
        <v>8</v>
      </c>
      <c r="C95" s="95" t="s">
        <v>242</v>
      </c>
      <c r="D95" s="5">
        <v>2560100</v>
      </c>
      <c r="E95" s="5"/>
      <c r="F95" s="6">
        <f t="shared" si="2"/>
        <v>2560100</v>
      </c>
      <c r="G95" s="5">
        <v>2560100</v>
      </c>
      <c r="H95" s="5"/>
      <c r="I95" s="6">
        <f t="shared" si="3"/>
        <v>2560100</v>
      </c>
    </row>
    <row r="96" spans="1:9" ht="15">
      <c r="A96" s="17">
        <v>20</v>
      </c>
      <c r="B96" s="15">
        <v>9</v>
      </c>
      <c r="C96" s="95" t="s">
        <v>28</v>
      </c>
      <c r="D96" s="5">
        <v>860000</v>
      </c>
      <c r="E96" s="5">
        <v>152000</v>
      </c>
      <c r="F96" s="6">
        <f t="shared" si="2"/>
        <v>1012000</v>
      </c>
      <c r="G96" s="5">
        <v>860000</v>
      </c>
      <c r="H96" s="5">
        <v>152000</v>
      </c>
      <c r="I96" s="6">
        <f t="shared" si="3"/>
        <v>1012000</v>
      </c>
    </row>
    <row r="97" spans="1:9" ht="15">
      <c r="A97" s="17">
        <v>21</v>
      </c>
      <c r="B97" s="15">
        <v>10</v>
      </c>
      <c r="C97" s="95" t="s">
        <v>203</v>
      </c>
      <c r="D97" s="5">
        <v>2792909</v>
      </c>
      <c r="E97" s="5">
        <v>1450000</v>
      </c>
      <c r="F97" s="6">
        <f t="shared" si="2"/>
        <v>4242909</v>
      </c>
      <c r="G97" s="5">
        <v>2792909</v>
      </c>
      <c r="H97" s="5">
        <v>1448590</v>
      </c>
      <c r="I97" s="6">
        <f t="shared" si="3"/>
        <v>4241499</v>
      </c>
    </row>
    <row r="98" spans="1:9" ht="15">
      <c r="A98" s="17">
        <v>22</v>
      </c>
      <c r="B98" s="15">
        <v>11</v>
      </c>
      <c r="C98" s="95" t="s">
        <v>244</v>
      </c>
      <c r="D98" s="5">
        <v>1451145</v>
      </c>
      <c r="E98" s="5">
        <v>389133</v>
      </c>
      <c r="F98" s="6">
        <f t="shared" si="2"/>
        <v>1840278</v>
      </c>
      <c r="G98" s="5">
        <v>1451145</v>
      </c>
      <c r="H98" s="5">
        <v>389133</v>
      </c>
      <c r="I98" s="6">
        <f t="shared" si="3"/>
        <v>1840278</v>
      </c>
    </row>
    <row r="99" spans="1:9" ht="15">
      <c r="A99" s="17">
        <v>23</v>
      </c>
      <c r="B99" s="15">
        <v>12</v>
      </c>
      <c r="C99" s="95" t="s">
        <v>31</v>
      </c>
      <c r="D99" s="5"/>
      <c r="E99" s="18"/>
      <c r="F99" s="6">
        <f t="shared" si="2"/>
        <v>0</v>
      </c>
      <c r="G99" s="5">
        <v>1199500</v>
      </c>
      <c r="H99" s="18">
        <v>300000</v>
      </c>
      <c r="I99" s="6">
        <f t="shared" si="3"/>
        <v>1499500</v>
      </c>
    </row>
    <row r="100" spans="1:9" ht="15">
      <c r="A100" s="17">
        <v>24</v>
      </c>
      <c r="B100" s="15">
        <v>13</v>
      </c>
      <c r="C100" s="95" t="s">
        <v>32</v>
      </c>
      <c r="D100" s="5"/>
      <c r="E100" s="5"/>
      <c r="F100" s="6">
        <f t="shared" si="2"/>
        <v>0</v>
      </c>
      <c r="G100" s="5"/>
      <c r="H100" s="5"/>
      <c r="I100" s="6">
        <f t="shared" si="3"/>
        <v>0</v>
      </c>
    </row>
    <row r="101" spans="1:9" ht="15">
      <c r="A101" s="17">
        <v>25</v>
      </c>
      <c r="B101" s="15">
        <v>14</v>
      </c>
      <c r="C101" s="95" t="s">
        <v>423</v>
      </c>
      <c r="D101" s="5"/>
      <c r="E101" s="5"/>
      <c r="F101" s="6">
        <f t="shared" si="2"/>
        <v>0</v>
      </c>
      <c r="G101" s="5">
        <v>2036778</v>
      </c>
      <c r="H101" s="5"/>
      <c r="I101" s="6">
        <f t="shared" si="3"/>
        <v>2036778</v>
      </c>
    </row>
    <row r="102" spans="1:9" ht="15">
      <c r="A102" s="17">
        <v>26</v>
      </c>
      <c r="B102" s="15">
        <v>15</v>
      </c>
      <c r="C102" s="95" t="s">
        <v>230</v>
      </c>
      <c r="D102" s="5">
        <v>865000</v>
      </c>
      <c r="E102" s="5">
        <v>1638600</v>
      </c>
      <c r="F102" s="6">
        <f t="shared" si="2"/>
        <v>2503600</v>
      </c>
      <c r="G102" s="5">
        <v>865000</v>
      </c>
      <c r="H102" s="5">
        <v>1624600</v>
      </c>
      <c r="I102" s="6">
        <f t="shared" si="3"/>
        <v>2489600</v>
      </c>
    </row>
    <row r="103" spans="1:9" ht="15">
      <c r="A103" s="17">
        <v>27</v>
      </c>
      <c r="B103" s="15">
        <v>16</v>
      </c>
      <c r="C103" s="95" t="s">
        <v>252</v>
      </c>
      <c r="D103" s="5">
        <v>1303418</v>
      </c>
      <c r="E103" s="5">
        <v>25000</v>
      </c>
      <c r="F103" s="6">
        <f t="shared" si="2"/>
        <v>1328418</v>
      </c>
      <c r="G103" s="5">
        <v>1303418</v>
      </c>
      <c r="H103" s="5">
        <v>25000</v>
      </c>
      <c r="I103" s="6">
        <f t="shared" si="3"/>
        <v>1328418</v>
      </c>
    </row>
    <row r="104" spans="1:9" ht="15">
      <c r="A104" s="17">
        <v>28</v>
      </c>
      <c r="B104" s="15">
        <v>17</v>
      </c>
      <c r="C104" s="95" t="s">
        <v>313</v>
      </c>
      <c r="D104" s="5"/>
      <c r="E104" s="5"/>
      <c r="F104" s="6">
        <f t="shared" si="2"/>
        <v>0</v>
      </c>
      <c r="G104" s="5">
        <f>422000+425000</f>
        <v>847000</v>
      </c>
      <c r="H104" s="5">
        <f>505000*2</f>
        <v>1010000</v>
      </c>
      <c r="I104" s="6">
        <f t="shared" si="3"/>
        <v>1857000</v>
      </c>
    </row>
    <row r="105" spans="1:9" ht="15">
      <c r="A105" s="17">
        <v>29</v>
      </c>
      <c r="B105" s="15">
        <v>18</v>
      </c>
      <c r="C105" s="96" t="s">
        <v>240</v>
      </c>
      <c r="D105" s="5">
        <v>3308850</v>
      </c>
      <c r="E105" s="5"/>
      <c r="F105" s="6">
        <f t="shared" si="2"/>
        <v>3308850</v>
      </c>
      <c r="G105" s="5">
        <v>3191750</v>
      </c>
      <c r="H105" s="5"/>
      <c r="I105" s="6">
        <f t="shared" si="3"/>
        <v>3191750</v>
      </c>
    </row>
    <row r="106" spans="1:9" ht="15">
      <c r="A106" s="17">
        <v>30</v>
      </c>
      <c r="B106" s="15">
        <v>19</v>
      </c>
      <c r="C106" s="96" t="s">
        <v>243</v>
      </c>
      <c r="D106" s="5">
        <v>489505</v>
      </c>
      <c r="E106" s="5">
        <v>772450</v>
      </c>
      <c r="F106" s="6">
        <f t="shared" si="2"/>
        <v>1261955</v>
      </c>
      <c r="G106" s="5">
        <v>489505</v>
      </c>
      <c r="H106" s="5">
        <v>772450</v>
      </c>
      <c r="I106" s="6">
        <f t="shared" si="3"/>
        <v>1261955</v>
      </c>
    </row>
    <row r="107" spans="1:9" ht="15">
      <c r="A107" s="17">
        <v>31</v>
      </c>
      <c r="B107" s="15">
        <v>20</v>
      </c>
      <c r="C107" s="96" t="s">
        <v>311</v>
      </c>
      <c r="D107" s="5">
        <v>769228</v>
      </c>
      <c r="E107" s="5">
        <v>116000</v>
      </c>
      <c r="F107" s="6">
        <f t="shared" si="2"/>
        <v>885228</v>
      </c>
      <c r="G107" s="5">
        <v>774900</v>
      </c>
      <c r="H107" s="5">
        <v>116000</v>
      </c>
      <c r="I107" s="6">
        <f t="shared" si="3"/>
        <v>890900</v>
      </c>
    </row>
    <row r="108" spans="1:9" ht="15">
      <c r="A108" s="17">
        <v>32</v>
      </c>
      <c r="B108" s="15">
        <v>21</v>
      </c>
      <c r="C108" s="96" t="s">
        <v>422</v>
      </c>
      <c r="D108" s="5"/>
      <c r="E108" s="5"/>
      <c r="F108" s="6">
        <f t="shared" si="2"/>
        <v>0</v>
      </c>
      <c r="G108" s="5">
        <v>634500</v>
      </c>
      <c r="H108" s="5"/>
      <c r="I108" s="6">
        <f t="shared" si="3"/>
        <v>634500</v>
      </c>
    </row>
    <row r="109" spans="1:9" ht="15">
      <c r="A109" s="224" t="s">
        <v>5</v>
      </c>
      <c r="B109" s="225"/>
      <c r="C109" s="225"/>
      <c r="D109" s="7">
        <f>SUM(D88:D108)</f>
        <v>32498199</v>
      </c>
      <c r="E109" s="7">
        <f>SUM(E88:E108)</f>
        <v>13294733</v>
      </c>
      <c r="F109" s="7">
        <f>SUM(D109:E109)</f>
        <v>45792932</v>
      </c>
      <c r="G109" s="7">
        <f>SUM(G88:G108)</f>
        <v>35903636</v>
      </c>
      <c r="H109" s="7">
        <f>SUM(H88:H108)</f>
        <v>14267323</v>
      </c>
      <c r="I109" s="7">
        <f t="shared" si="3"/>
        <v>50170959</v>
      </c>
    </row>
    <row r="110" spans="1:9" ht="15">
      <c r="A110" s="224" t="s">
        <v>47</v>
      </c>
      <c r="B110" s="225"/>
      <c r="C110" s="225"/>
      <c r="D110" s="225"/>
      <c r="E110" s="225"/>
      <c r="F110" s="225"/>
      <c r="G110" s="225"/>
      <c r="H110" s="225"/>
      <c r="I110" s="226"/>
    </row>
    <row r="111" spans="1:9" ht="15">
      <c r="A111" s="15">
        <v>33</v>
      </c>
      <c r="B111" s="15">
        <v>1</v>
      </c>
      <c r="C111" s="15" t="s">
        <v>48</v>
      </c>
      <c r="D111" s="5">
        <v>900000</v>
      </c>
      <c r="E111" s="5">
        <v>200000</v>
      </c>
      <c r="F111" s="6">
        <f>SUM(D111:E111)</f>
        <v>1100000</v>
      </c>
      <c r="G111" s="5">
        <v>900000</v>
      </c>
      <c r="H111" s="5">
        <v>200000</v>
      </c>
      <c r="I111" s="6">
        <f>SUM(G111:H111)</f>
        <v>1100000</v>
      </c>
    </row>
    <row r="112" spans="1:9" ht="15">
      <c r="A112" s="224" t="s">
        <v>42</v>
      </c>
      <c r="B112" s="225"/>
      <c r="C112" s="225"/>
      <c r="D112" s="7">
        <f>D111</f>
        <v>900000</v>
      </c>
      <c r="E112" s="7">
        <f>E111</f>
        <v>200000</v>
      </c>
      <c r="F112" s="7">
        <f>SUM(D112:E112)</f>
        <v>1100000</v>
      </c>
      <c r="G112" s="7">
        <f>G111</f>
        <v>900000</v>
      </c>
      <c r="H112" s="7">
        <f>H111</f>
        <v>200000</v>
      </c>
      <c r="I112" s="7">
        <f>SUM(G112:H112)</f>
        <v>1100000</v>
      </c>
    </row>
    <row r="113" spans="1:9" ht="15">
      <c r="A113" s="224" t="s">
        <v>49</v>
      </c>
      <c r="B113" s="225"/>
      <c r="C113" s="225"/>
      <c r="D113" s="225"/>
      <c r="E113" s="225"/>
      <c r="F113" s="225"/>
      <c r="G113" s="225"/>
      <c r="H113" s="225"/>
      <c r="I113" s="226"/>
    </row>
    <row r="114" spans="1:9" ht="15">
      <c r="A114" s="15">
        <v>34</v>
      </c>
      <c r="B114" s="15">
        <v>1</v>
      </c>
      <c r="C114" s="19" t="s">
        <v>50</v>
      </c>
      <c r="D114" s="5">
        <v>1804173</v>
      </c>
      <c r="E114" s="5">
        <v>509150</v>
      </c>
      <c r="F114" s="6">
        <f>SUM(D114:E114)</f>
        <v>2313323</v>
      </c>
      <c r="G114" s="5">
        <v>1804173</v>
      </c>
      <c r="H114" s="5">
        <v>509150</v>
      </c>
      <c r="I114" s="6">
        <f>SUM(G114:H114)</f>
        <v>2313323</v>
      </c>
    </row>
    <row r="115" spans="1:9" ht="15">
      <c r="A115" s="224" t="s">
        <v>42</v>
      </c>
      <c r="B115" s="225"/>
      <c r="C115" s="225"/>
      <c r="D115" s="7">
        <f>D114</f>
        <v>1804173</v>
      </c>
      <c r="E115" s="7">
        <f>E114</f>
        <v>509150</v>
      </c>
      <c r="F115" s="7">
        <f>SUM(D115:E115)</f>
        <v>2313323</v>
      </c>
      <c r="G115" s="7">
        <f>G114</f>
        <v>1804173</v>
      </c>
      <c r="H115" s="7">
        <f>H114</f>
        <v>509150</v>
      </c>
      <c r="I115" s="7">
        <f>SUM(G115:H115)</f>
        <v>2313323</v>
      </c>
    </row>
    <row r="116" spans="1:9" ht="15">
      <c r="A116" s="224" t="s">
        <v>51</v>
      </c>
      <c r="B116" s="225"/>
      <c r="C116" s="225"/>
      <c r="D116" s="225"/>
      <c r="E116" s="225"/>
      <c r="F116" s="225"/>
      <c r="G116" s="225"/>
      <c r="H116" s="225"/>
      <c r="I116" s="226"/>
    </row>
    <row r="117" spans="1:9" ht="15">
      <c r="A117" s="15">
        <v>35</v>
      </c>
      <c r="B117" s="15">
        <v>1</v>
      </c>
      <c r="C117" s="19" t="s">
        <v>52</v>
      </c>
      <c r="D117" s="5">
        <v>1692000</v>
      </c>
      <c r="E117" s="5">
        <v>649500</v>
      </c>
      <c r="F117" s="6">
        <f>SUM(D117:E117)</f>
        <v>2341500</v>
      </c>
      <c r="G117" s="5">
        <v>1692000</v>
      </c>
      <c r="H117" s="5">
        <v>649500</v>
      </c>
      <c r="I117" s="6">
        <f>SUM(G117:H117)</f>
        <v>2341500</v>
      </c>
    </row>
    <row r="118" spans="1:9" ht="15">
      <c r="A118" s="15">
        <v>36</v>
      </c>
      <c r="B118" s="15">
        <v>2</v>
      </c>
      <c r="C118" s="19" t="s">
        <v>53</v>
      </c>
      <c r="D118" s="5">
        <v>244000</v>
      </c>
      <c r="E118" s="5">
        <v>555000</v>
      </c>
      <c r="F118" s="6">
        <f aca="true" t="shared" si="4" ref="F118:F136">SUM(D118:E118)</f>
        <v>799000</v>
      </c>
      <c r="G118" s="5"/>
      <c r="H118" s="5"/>
      <c r="I118" s="6">
        <f aca="true" t="shared" si="5" ref="I118:I126">SUM(G118:H118)</f>
        <v>0</v>
      </c>
    </row>
    <row r="119" spans="1:9" ht="15">
      <c r="A119" s="15">
        <v>37</v>
      </c>
      <c r="B119" s="15">
        <v>3</v>
      </c>
      <c r="C119" s="20" t="s">
        <v>54</v>
      </c>
      <c r="D119" s="5"/>
      <c r="E119" s="5">
        <v>1582000</v>
      </c>
      <c r="F119" s="6">
        <f t="shared" si="4"/>
        <v>1582000</v>
      </c>
      <c r="G119" s="5"/>
      <c r="H119" s="5"/>
      <c r="I119" s="6">
        <f t="shared" si="5"/>
        <v>0</v>
      </c>
    </row>
    <row r="120" spans="1:9" ht="15">
      <c r="A120" s="15">
        <v>38</v>
      </c>
      <c r="B120" s="21">
        <v>4</v>
      </c>
      <c r="C120" s="20" t="s">
        <v>55</v>
      </c>
      <c r="D120" s="5">
        <v>264000</v>
      </c>
      <c r="E120" s="5">
        <v>492000</v>
      </c>
      <c r="F120" s="6">
        <f t="shared" si="4"/>
        <v>756000</v>
      </c>
      <c r="G120" s="5"/>
      <c r="H120" s="5"/>
      <c r="I120" s="6">
        <f t="shared" si="5"/>
        <v>0</v>
      </c>
    </row>
    <row r="121" spans="1:9" ht="15">
      <c r="A121" s="15">
        <v>39</v>
      </c>
      <c r="B121" s="15">
        <v>5</v>
      </c>
      <c r="C121" s="20" t="s">
        <v>56</v>
      </c>
      <c r="D121" s="5">
        <v>505700</v>
      </c>
      <c r="E121" s="5">
        <v>157000</v>
      </c>
      <c r="F121" s="6">
        <f t="shared" si="4"/>
        <v>662700</v>
      </c>
      <c r="G121" s="5">
        <v>505700</v>
      </c>
      <c r="H121" s="5">
        <v>157000</v>
      </c>
      <c r="I121" s="6">
        <f t="shared" si="5"/>
        <v>662700</v>
      </c>
    </row>
    <row r="122" spans="1:9" ht="15">
      <c r="A122" s="15">
        <v>40</v>
      </c>
      <c r="B122" s="15">
        <v>6</v>
      </c>
      <c r="C122" s="20" t="s">
        <v>57</v>
      </c>
      <c r="D122" s="5">
        <v>1486192</v>
      </c>
      <c r="E122" s="5">
        <v>100000</v>
      </c>
      <c r="F122" s="6">
        <f t="shared" si="4"/>
        <v>1586192</v>
      </c>
      <c r="G122" s="5">
        <v>1377000</v>
      </c>
      <c r="H122" s="5">
        <v>100000</v>
      </c>
      <c r="I122" s="6">
        <f t="shared" si="5"/>
        <v>1477000</v>
      </c>
    </row>
    <row r="123" spans="1:9" ht="15">
      <c r="A123" s="15">
        <v>41</v>
      </c>
      <c r="B123" s="15">
        <v>7</v>
      </c>
      <c r="C123" s="20" t="s">
        <v>58</v>
      </c>
      <c r="D123" s="5">
        <v>505000</v>
      </c>
      <c r="E123" s="5">
        <v>140000</v>
      </c>
      <c r="F123" s="6">
        <f t="shared" si="4"/>
        <v>645000</v>
      </c>
      <c r="G123" s="5"/>
      <c r="H123" s="5"/>
      <c r="I123" s="6">
        <f t="shared" si="5"/>
        <v>0</v>
      </c>
    </row>
    <row r="124" spans="1:9" ht="15">
      <c r="A124" s="15">
        <v>42</v>
      </c>
      <c r="B124" s="15">
        <v>8</v>
      </c>
      <c r="C124" s="19" t="s">
        <v>59</v>
      </c>
      <c r="D124" s="5">
        <v>758000</v>
      </c>
      <c r="E124" s="5">
        <v>100000</v>
      </c>
      <c r="F124" s="6">
        <f t="shared" si="4"/>
        <v>858000</v>
      </c>
      <c r="G124" s="5">
        <v>760000</v>
      </c>
      <c r="H124" s="5">
        <v>100000</v>
      </c>
      <c r="I124" s="6">
        <f t="shared" si="5"/>
        <v>860000</v>
      </c>
    </row>
    <row r="125" spans="1:9" ht="15">
      <c r="A125" s="15">
        <v>43</v>
      </c>
      <c r="B125" s="15">
        <v>9</v>
      </c>
      <c r="C125" s="19" t="s">
        <v>60</v>
      </c>
      <c r="D125" s="5">
        <v>404500</v>
      </c>
      <c r="E125" s="5">
        <v>230000</v>
      </c>
      <c r="F125" s="6">
        <f t="shared" si="4"/>
        <v>634500</v>
      </c>
      <c r="G125" s="5">
        <v>250500</v>
      </c>
      <c r="H125" s="5">
        <v>230000</v>
      </c>
      <c r="I125" s="6">
        <f t="shared" si="5"/>
        <v>480500</v>
      </c>
    </row>
    <row r="126" spans="1:9" ht="15">
      <c r="A126" s="15">
        <v>44</v>
      </c>
      <c r="B126" s="15">
        <v>10</v>
      </c>
      <c r="C126" s="19" t="s">
        <v>61</v>
      </c>
      <c r="D126" s="5">
        <v>260400</v>
      </c>
      <c r="E126" s="5">
        <v>120000</v>
      </c>
      <c r="F126" s="6">
        <f t="shared" si="4"/>
        <v>380400</v>
      </c>
      <c r="G126" s="5">
        <v>260400</v>
      </c>
      <c r="H126" s="5">
        <v>120000</v>
      </c>
      <c r="I126" s="6">
        <f t="shared" si="5"/>
        <v>380400</v>
      </c>
    </row>
    <row r="127" spans="1:9" ht="15">
      <c r="A127" s="15">
        <v>45</v>
      </c>
      <c r="B127" s="15">
        <v>11</v>
      </c>
      <c r="C127" s="19" t="s">
        <v>62</v>
      </c>
      <c r="D127" s="5">
        <v>920107</v>
      </c>
      <c r="F127" s="6">
        <f>SUM(D127:E127)</f>
        <v>920107</v>
      </c>
      <c r="G127" s="5">
        <v>921200</v>
      </c>
      <c r="I127" s="6">
        <f>SUM(G127:H127)</f>
        <v>921200</v>
      </c>
    </row>
    <row r="128" spans="1:9" ht="15">
      <c r="A128" s="15">
        <v>46</v>
      </c>
      <c r="B128" s="15">
        <v>12</v>
      </c>
      <c r="C128" s="19" t="s">
        <v>63</v>
      </c>
      <c r="D128" s="5"/>
      <c r="E128" s="5"/>
      <c r="F128" s="6">
        <f t="shared" si="4"/>
        <v>0</v>
      </c>
      <c r="G128" s="5"/>
      <c r="H128" s="5"/>
      <c r="I128" s="6">
        <f>SUM(G128:H128)</f>
        <v>0</v>
      </c>
    </row>
    <row r="129" spans="1:9" ht="15">
      <c r="A129" s="15">
        <v>47</v>
      </c>
      <c r="B129" s="15">
        <v>13</v>
      </c>
      <c r="C129" s="19" t="s">
        <v>64</v>
      </c>
      <c r="D129" s="5">
        <v>1200000</v>
      </c>
      <c r="E129" s="5"/>
      <c r="F129" s="6">
        <f t="shared" si="4"/>
        <v>1200000</v>
      </c>
      <c r="G129" s="5">
        <v>621000</v>
      </c>
      <c r="H129" s="5">
        <v>100000</v>
      </c>
      <c r="I129" s="6">
        <f>SUM(G129:H129)</f>
        <v>721000</v>
      </c>
    </row>
    <row r="130" spans="1:9" ht="15">
      <c r="A130" s="15">
        <v>48</v>
      </c>
      <c r="B130" s="15">
        <v>14</v>
      </c>
      <c r="C130" s="19" t="s">
        <v>65</v>
      </c>
      <c r="D130" s="5">
        <v>127000</v>
      </c>
      <c r="E130" s="5">
        <v>125000</v>
      </c>
      <c r="F130" s="6">
        <f>SUM(D130:E130)</f>
        <v>252000</v>
      </c>
      <c r="G130" s="5">
        <v>127000</v>
      </c>
      <c r="H130" s="5">
        <v>125000</v>
      </c>
      <c r="I130" s="6">
        <f>SUM(G130:H130)</f>
        <v>252000</v>
      </c>
    </row>
    <row r="131" spans="1:9" ht="15">
      <c r="A131" s="15">
        <v>49</v>
      </c>
      <c r="B131" s="15">
        <v>15</v>
      </c>
      <c r="C131" s="78" t="s">
        <v>66</v>
      </c>
      <c r="D131" s="5"/>
      <c r="E131" s="5"/>
      <c r="F131" s="6">
        <f t="shared" si="4"/>
        <v>0</v>
      </c>
      <c r="G131" s="5"/>
      <c r="H131" s="5"/>
      <c r="I131" s="6">
        <f aca="true" t="shared" si="6" ref="I131:I136">SUM(G131:H131)</f>
        <v>0</v>
      </c>
    </row>
    <row r="132" spans="1:9" ht="15">
      <c r="A132" s="15">
        <v>50</v>
      </c>
      <c r="B132" s="15">
        <v>16</v>
      </c>
      <c r="C132" s="19" t="s">
        <v>67</v>
      </c>
      <c r="D132" s="5">
        <v>987000</v>
      </c>
      <c r="E132" s="5"/>
      <c r="F132" s="6">
        <f t="shared" si="4"/>
        <v>987000</v>
      </c>
      <c r="G132" s="5">
        <v>975000</v>
      </c>
      <c r="H132" s="5"/>
      <c r="I132" s="6">
        <f t="shared" si="6"/>
        <v>975000</v>
      </c>
    </row>
    <row r="133" spans="1:9" ht="15">
      <c r="A133" s="15">
        <v>51</v>
      </c>
      <c r="B133" s="15">
        <v>17</v>
      </c>
      <c r="C133" s="19" t="s">
        <v>68</v>
      </c>
      <c r="D133" s="5"/>
      <c r="E133" s="5"/>
      <c r="F133" s="6">
        <f t="shared" si="4"/>
        <v>0</v>
      </c>
      <c r="G133" s="5"/>
      <c r="H133" s="5"/>
      <c r="I133" s="6">
        <f t="shared" si="6"/>
        <v>0</v>
      </c>
    </row>
    <row r="134" spans="1:9" ht="15">
      <c r="A134" s="15">
        <v>52</v>
      </c>
      <c r="B134" s="15">
        <v>18</v>
      </c>
      <c r="C134" s="19" t="s">
        <v>69</v>
      </c>
      <c r="D134" s="5">
        <v>604304</v>
      </c>
      <c r="E134" s="5">
        <v>160000</v>
      </c>
      <c r="F134" s="6">
        <f t="shared" si="4"/>
        <v>764304</v>
      </c>
      <c r="G134" s="5"/>
      <c r="H134" s="5"/>
      <c r="I134" s="6">
        <f t="shared" si="6"/>
        <v>0</v>
      </c>
    </row>
    <row r="135" spans="1:9" ht="15">
      <c r="A135" s="15">
        <v>53</v>
      </c>
      <c r="B135" s="15">
        <v>19</v>
      </c>
      <c r="C135" s="19" t="s">
        <v>70</v>
      </c>
      <c r="D135" s="5"/>
      <c r="E135" s="5">
        <v>510000</v>
      </c>
      <c r="F135" s="6">
        <f t="shared" si="4"/>
        <v>510000</v>
      </c>
      <c r="G135" s="5"/>
      <c r="H135" s="5"/>
      <c r="I135" s="6">
        <f t="shared" si="6"/>
        <v>0</v>
      </c>
    </row>
    <row r="136" spans="1:9" ht="15">
      <c r="A136" s="15">
        <v>54</v>
      </c>
      <c r="B136" s="15">
        <v>20</v>
      </c>
      <c r="C136" s="19" t="s">
        <v>71</v>
      </c>
      <c r="D136" s="5">
        <v>527648</v>
      </c>
      <c r="E136" s="5">
        <v>296510</v>
      </c>
      <c r="F136" s="6">
        <f t="shared" si="4"/>
        <v>824158</v>
      </c>
      <c r="G136" s="5"/>
      <c r="H136" s="5"/>
      <c r="I136" s="6">
        <f t="shared" si="6"/>
        <v>0</v>
      </c>
    </row>
    <row r="137" spans="1:13" ht="15">
      <c r="A137" s="224" t="s">
        <v>5</v>
      </c>
      <c r="B137" s="225"/>
      <c r="C137" s="225"/>
      <c r="D137" s="7">
        <f>SUM(D117:D136)</f>
        <v>10485851</v>
      </c>
      <c r="E137" s="7">
        <f>SUM(E117:E136)</f>
        <v>5217010</v>
      </c>
      <c r="F137" s="7">
        <f>SUM(D137:E137)</f>
        <v>15702861</v>
      </c>
      <c r="G137" s="7">
        <f>SUM(G117:G136)</f>
        <v>7489800</v>
      </c>
      <c r="H137" s="7">
        <f>SUM(H117:H136)</f>
        <v>1581500</v>
      </c>
      <c r="I137" s="7">
        <f>SUM(G137:H137)</f>
        <v>9071300</v>
      </c>
      <c r="M137" t="s">
        <v>348</v>
      </c>
    </row>
    <row r="138" spans="1:9" ht="15">
      <c r="A138" s="234" t="s">
        <v>72</v>
      </c>
      <c r="B138" s="235"/>
      <c r="C138" s="235"/>
      <c r="D138" s="235"/>
      <c r="E138" s="235"/>
      <c r="F138" s="235"/>
      <c r="G138" s="235"/>
      <c r="H138" s="235"/>
      <c r="I138" s="236"/>
    </row>
    <row r="139" spans="1:9" ht="15">
      <c r="A139" s="15">
        <v>55</v>
      </c>
      <c r="B139" s="15">
        <v>1</v>
      </c>
      <c r="C139" s="20" t="s">
        <v>73</v>
      </c>
      <c r="D139" s="5">
        <v>1424040</v>
      </c>
      <c r="E139" s="5">
        <v>842800</v>
      </c>
      <c r="F139" s="6">
        <f>SUM(D139:E139)</f>
        <v>2266840</v>
      </c>
      <c r="G139" s="5">
        <v>1357440</v>
      </c>
      <c r="H139" s="5">
        <v>842800</v>
      </c>
      <c r="I139" s="6">
        <f>SUM(G139:H139)</f>
        <v>2200240</v>
      </c>
    </row>
    <row r="140" spans="1:9" ht="15">
      <c r="A140" s="15">
        <v>56</v>
      </c>
      <c r="B140" s="15">
        <v>2</v>
      </c>
      <c r="C140" s="20" t="s">
        <v>74</v>
      </c>
      <c r="D140" s="5">
        <v>345000</v>
      </c>
      <c r="E140" s="5">
        <v>254000</v>
      </c>
      <c r="F140" s="6">
        <f>SUM(D140:E140)</f>
        <v>599000</v>
      </c>
      <c r="G140" s="5">
        <v>345000</v>
      </c>
      <c r="H140" s="5">
        <v>254000</v>
      </c>
      <c r="I140" s="6">
        <f>SUM(G140:H140)</f>
        <v>599000</v>
      </c>
    </row>
    <row r="141" spans="1:9" ht="15">
      <c r="A141" s="15">
        <v>57</v>
      </c>
      <c r="B141" s="15">
        <v>3</v>
      </c>
      <c r="C141" s="20" t="s">
        <v>75</v>
      </c>
      <c r="D141" s="5">
        <v>1134200</v>
      </c>
      <c r="E141" s="5">
        <v>1247500</v>
      </c>
      <c r="F141" s="6">
        <f aca="true" t="shared" si="7" ref="F141:F158">SUM(D141:E141)</f>
        <v>2381700</v>
      </c>
      <c r="G141" s="5"/>
      <c r="H141" s="5"/>
      <c r="I141" s="6">
        <f aca="true" t="shared" si="8" ref="I141:I158">SUM(G141:H141)</f>
        <v>0</v>
      </c>
    </row>
    <row r="142" spans="1:9" ht="15">
      <c r="A142" s="15">
        <v>58</v>
      </c>
      <c r="B142" s="15">
        <v>4</v>
      </c>
      <c r="C142" s="20" t="s">
        <v>76</v>
      </c>
      <c r="D142" s="5"/>
      <c r="E142" s="5">
        <v>300000</v>
      </c>
      <c r="F142" s="6">
        <f t="shared" si="7"/>
        <v>300000</v>
      </c>
      <c r="G142" s="5"/>
      <c r="H142" s="5"/>
      <c r="I142" s="6">
        <f t="shared" si="8"/>
        <v>0</v>
      </c>
    </row>
    <row r="143" spans="1:9" ht="15">
      <c r="A143" s="15">
        <v>59</v>
      </c>
      <c r="B143" s="15">
        <v>5</v>
      </c>
      <c r="C143" s="22" t="s">
        <v>77</v>
      </c>
      <c r="D143" s="5"/>
      <c r="E143" s="5"/>
      <c r="F143" s="6">
        <f t="shared" si="7"/>
        <v>0</v>
      </c>
      <c r="G143" s="5">
        <v>912000</v>
      </c>
      <c r="H143" s="5"/>
      <c r="I143" s="6">
        <f t="shared" si="8"/>
        <v>912000</v>
      </c>
    </row>
    <row r="144" spans="1:9" ht="15">
      <c r="A144" s="15">
        <v>60</v>
      </c>
      <c r="B144" s="15">
        <v>6</v>
      </c>
      <c r="C144" s="20" t="s">
        <v>78</v>
      </c>
      <c r="D144" s="5">
        <v>794000</v>
      </c>
      <c r="E144" s="5">
        <v>1419500</v>
      </c>
      <c r="F144" s="6">
        <f t="shared" si="7"/>
        <v>2213500</v>
      </c>
      <c r="G144" s="5">
        <v>794000</v>
      </c>
      <c r="H144" s="5">
        <v>1319500</v>
      </c>
      <c r="I144" s="6">
        <f t="shared" si="8"/>
        <v>2113500</v>
      </c>
    </row>
    <row r="145" spans="1:9" ht="15">
      <c r="A145" s="15">
        <v>61</v>
      </c>
      <c r="B145" s="15">
        <v>7</v>
      </c>
      <c r="C145" s="20" t="s">
        <v>79</v>
      </c>
      <c r="D145" s="5">
        <v>337000</v>
      </c>
      <c r="E145" s="5">
        <v>450000</v>
      </c>
      <c r="F145" s="6">
        <f t="shared" si="7"/>
        <v>787000</v>
      </c>
      <c r="G145" s="5">
        <v>315000</v>
      </c>
      <c r="H145" s="5">
        <v>450000</v>
      </c>
      <c r="I145" s="6">
        <f t="shared" si="8"/>
        <v>765000</v>
      </c>
    </row>
    <row r="146" spans="1:9" ht="15">
      <c r="A146" s="15">
        <v>62</v>
      </c>
      <c r="B146" s="15">
        <v>8</v>
      </c>
      <c r="C146" s="20" t="s">
        <v>80</v>
      </c>
      <c r="D146" s="5">
        <v>571000</v>
      </c>
      <c r="E146" s="5">
        <v>939000</v>
      </c>
      <c r="F146" s="6">
        <f t="shared" si="7"/>
        <v>1510000</v>
      </c>
      <c r="G146" s="5">
        <v>571000</v>
      </c>
      <c r="H146" s="5">
        <v>939000</v>
      </c>
      <c r="I146" s="6">
        <f t="shared" si="8"/>
        <v>1510000</v>
      </c>
    </row>
    <row r="147" spans="1:9" ht="15">
      <c r="A147" s="15">
        <v>63</v>
      </c>
      <c r="B147" s="15">
        <v>9</v>
      </c>
      <c r="C147" s="20" t="s">
        <v>81</v>
      </c>
      <c r="D147" s="5">
        <v>339000</v>
      </c>
      <c r="E147" s="5">
        <v>495000</v>
      </c>
      <c r="F147" s="6">
        <f t="shared" si="7"/>
        <v>834000</v>
      </c>
      <c r="G147" s="5">
        <v>333000</v>
      </c>
      <c r="H147" s="5">
        <v>495000</v>
      </c>
      <c r="I147" s="6">
        <f t="shared" si="8"/>
        <v>828000</v>
      </c>
    </row>
    <row r="148" spans="1:9" ht="15">
      <c r="A148" s="15">
        <v>64</v>
      </c>
      <c r="B148" s="15">
        <v>10</v>
      </c>
      <c r="C148" s="20" t="s">
        <v>82</v>
      </c>
      <c r="D148" s="5">
        <v>357100</v>
      </c>
      <c r="E148" s="5">
        <v>72000</v>
      </c>
      <c r="F148" s="6">
        <f t="shared" si="7"/>
        <v>429100</v>
      </c>
      <c r="G148" s="5">
        <v>357100</v>
      </c>
      <c r="H148" s="5">
        <v>72000</v>
      </c>
      <c r="I148" s="6">
        <f t="shared" si="8"/>
        <v>429100</v>
      </c>
    </row>
    <row r="149" spans="1:9" ht="15">
      <c r="A149" s="15">
        <v>65</v>
      </c>
      <c r="B149" s="15">
        <v>11</v>
      </c>
      <c r="C149" s="20" t="s">
        <v>83</v>
      </c>
      <c r="D149" s="5">
        <v>200000</v>
      </c>
      <c r="E149" s="5">
        <v>600000</v>
      </c>
      <c r="F149" s="6">
        <f t="shared" si="7"/>
        <v>800000</v>
      </c>
      <c r="G149" s="5">
        <v>200000</v>
      </c>
      <c r="H149" s="5">
        <v>600000</v>
      </c>
      <c r="I149" s="6">
        <f t="shared" si="8"/>
        <v>800000</v>
      </c>
    </row>
    <row r="150" spans="1:9" ht="15">
      <c r="A150" s="15">
        <v>66</v>
      </c>
      <c r="B150" s="15">
        <v>12</v>
      </c>
      <c r="C150" s="20" t="s">
        <v>84</v>
      </c>
      <c r="D150" s="5">
        <v>201700</v>
      </c>
      <c r="E150" s="5">
        <v>809000</v>
      </c>
      <c r="F150" s="6">
        <f t="shared" si="7"/>
        <v>1010700</v>
      </c>
      <c r="G150" s="5">
        <v>201700</v>
      </c>
      <c r="H150" s="5">
        <v>809000</v>
      </c>
      <c r="I150" s="6">
        <f t="shared" si="8"/>
        <v>1010700</v>
      </c>
    </row>
    <row r="151" spans="1:9" ht="15">
      <c r="A151" s="15">
        <v>67</v>
      </c>
      <c r="B151" s="15">
        <v>13</v>
      </c>
      <c r="C151" s="20" t="s">
        <v>85</v>
      </c>
      <c r="D151" s="18"/>
      <c r="E151" s="18">
        <v>500000</v>
      </c>
      <c r="F151" s="6">
        <f t="shared" si="7"/>
        <v>500000</v>
      </c>
      <c r="G151" s="18"/>
      <c r="H151" s="18">
        <v>500000</v>
      </c>
      <c r="I151" s="6">
        <f t="shared" si="8"/>
        <v>500000</v>
      </c>
    </row>
    <row r="152" spans="1:9" ht="15">
      <c r="A152" s="15">
        <v>68</v>
      </c>
      <c r="B152" s="15">
        <v>14</v>
      </c>
      <c r="C152" s="22" t="s">
        <v>86</v>
      </c>
      <c r="D152" s="5"/>
      <c r="E152" s="5"/>
      <c r="F152" s="6">
        <f t="shared" si="7"/>
        <v>0</v>
      </c>
      <c r="G152" s="5"/>
      <c r="H152" s="5">
        <f>1060000*4</f>
        <v>4240000</v>
      </c>
      <c r="I152" s="6">
        <f t="shared" si="8"/>
        <v>4240000</v>
      </c>
    </row>
    <row r="153" spans="1:9" ht="15">
      <c r="A153" s="15">
        <v>69</v>
      </c>
      <c r="B153" s="15">
        <v>15</v>
      </c>
      <c r="C153" s="20" t="s">
        <v>87</v>
      </c>
      <c r="D153" s="5"/>
      <c r="E153" s="5">
        <v>1006000</v>
      </c>
      <c r="F153" s="6">
        <f t="shared" si="7"/>
        <v>1006000</v>
      </c>
      <c r="G153" s="5"/>
      <c r="H153" s="5">
        <v>1016000</v>
      </c>
      <c r="I153" s="6">
        <f t="shared" si="8"/>
        <v>1016000</v>
      </c>
    </row>
    <row r="154" spans="1:9" ht="15">
      <c r="A154" s="15">
        <v>70</v>
      </c>
      <c r="B154" s="15">
        <v>16</v>
      </c>
      <c r="C154" s="20" t="s">
        <v>88</v>
      </c>
      <c r="D154" s="5"/>
      <c r="E154" s="5"/>
      <c r="F154" s="6">
        <f t="shared" si="7"/>
        <v>0</v>
      </c>
      <c r="G154" s="5"/>
      <c r="H154" s="5">
        <f>2089000*2</f>
        <v>4178000</v>
      </c>
      <c r="I154" s="6">
        <f t="shared" si="8"/>
        <v>4178000</v>
      </c>
    </row>
    <row r="155" spans="1:9" ht="15">
      <c r="A155" s="15">
        <v>71</v>
      </c>
      <c r="B155" s="15">
        <v>17</v>
      </c>
      <c r="C155" s="20" t="s">
        <v>89</v>
      </c>
      <c r="D155" s="5"/>
      <c r="E155" s="5">
        <v>1520000</v>
      </c>
      <c r="F155" s="6">
        <f t="shared" si="7"/>
        <v>1520000</v>
      </c>
      <c r="G155" s="5"/>
      <c r="H155" s="5">
        <v>763000</v>
      </c>
      <c r="I155" s="6">
        <f t="shared" si="8"/>
        <v>763000</v>
      </c>
    </row>
    <row r="156" spans="1:9" ht="15">
      <c r="A156" s="15">
        <v>72</v>
      </c>
      <c r="B156" s="15">
        <v>18</v>
      </c>
      <c r="C156" s="19" t="s">
        <v>90</v>
      </c>
      <c r="D156" s="5">
        <v>458084</v>
      </c>
      <c r="E156" s="5">
        <v>4984724</v>
      </c>
      <c r="F156" s="6">
        <f t="shared" si="7"/>
        <v>5442808</v>
      </c>
      <c r="G156" s="5"/>
      <c r="H156" s="5"/>
      <c r="I156" s="6">
        <f t="shared" si="8"/>
        <v>0</v>
      </c>
    </row>
    <row r="157" spans="1:9" ht="15">
      <c r="A157" s="15">
        <v>73</v>
      </c>
      <c r="B157" s="15">
        <v>19</v>
      </c>
      <c r="C157" s="19" t="s">
        <v>91</v>
      </c>
      <c r="D157" s="5">
        <v>868100</v>
      </c>
      <c r="E157" s="5">
        <v>125000</v>
      </c>
      <c r="F157" s="6">
        <f t="shared" si="7"/>
        <v>993100</v>
      </c>
      <c r="G157" s="5">
        <v>863500</v>
      </c>
      <c r="H157" s="5">
        <v>125000</v>
      </c>
      <c r="I157" s="6">
        <f t="shared" si="8"/>
        <v>988500</v>
      </c>
    </row>
    <row r="158" spans="1:9" ht="15">
      <c r="A158" s="15">
        <v>74</v>
      </c>
      <c r="B158" s="15">
        <v>20</v>
      </c>
      <c r="C158" s="19" t="s">
        <v>92</v>
      </c>
      <c r="D158" s="5">
        <v>309000</v>
      </c>
      <c r="E158" s="5">
        <v>703000</v>
      </c>
      <c r="F158" s="6">
        <f t="shared" si="7"/>
        <v>1012000</v>
      </c>
      <c r="G158" s="5">
        <v>309000</v>
      </c>
      <c r="H158" s="5">
        <v>703000</v>
      </c>
      <c r="I158" s="6">
        <f t="shared" si="8"/>
        <v>1012000</v>
      </c>
    </row>
    <row r="159" spans="1:9" ht="15">
      <c r="A159" s="224" t="s">
        <v>5</v>
      </c>
      <c r="B159" s="225"/>
      <c r="C159" s="225"/>
      <c r="D159" s="7">
        <f>SUM(D139:D158)</f>
        <v>7338224</v>
      </c>
      <c r="E159" s="7">
        <f>SUM(E139:E158)</f>
        <v>16267524</v>
      </c>
      <c r="F159" s="7">
        <f>SUM(D159:E159)</f>
        <v>23605748</v>
      </c>
      <c r="G159" s="7">
        <f>SUM(G139:G158)</f>
        <v>6558740</v>
      </c>
      <c r="H159" s="7">
        <f>SUM(H139:H158)</f>
        <v>17306300</v>
      </c>
      <c r="I159" s="7">
        <f>SUM(G159:H159)</f>
        <v>23865040</v>
      </c>
    </row>
    <row r="160" spans="1:9" ht="15">
      <c r="A160" s="224" t="s">
        <v>93</v>
      </c>
      <c r="B160" s="225"/>
      <c r="C160" s="225"/>
      <c r="D160" s="225"/>
      <c r="E160" s="225"/>
      <c r="F160" s="225"/>
      <c r="G160" s="225"/>
      <c r="H160" s="225"/>
      <c r="I160" s="226"/>
    </row>
    <row r="161" spans="1:9" ht="15">
      <c r="A161" s="15">
        <v>75</v>
      </c>
      <c r="B161" s="15">
        <v>1</v>
      </c>
      <c r="C161" s="19" t="s">
        <v>94</v>
      </c>
      <c r="D161" s="5">
        <v>1275905</v>
      </c>
      <c r="E161" s="5">
        <v>99000</v>
      </c>
      <c r="F161" s="6">
        <f>SUM(D161:E161)</f>
        <v>1374905</v>
      </c>
      <c r="G161" s="5">
        <v>1378120</v>
      </c>
      <c r="H161" s="5">
        <v>102500</v>
      </c>
      <c r="I161" s="6">
        <f>SUM(G161:H161)</f>
        <v>1480620</v>
      </c>
    </row>
    <row r="162" spans="1:9" ht="15">
      <c r="A162" s="15">
        <v>76</v>
      </c>
      <c r="B162" s="15">
        <v>2</v>
      </c>
      <c r="C162" s="19" t="s">
        <v>95</v>
      </c>
      <c r="D162" s="5"/>
      <c r="E162" s="5">
        <v>25000</v>
      </c>
      <c r="F162" s="6">
        <f aca="true" t="shared" si="9" ref="F162:F183">SUM(D162:E162)</f>
        <v>25000</v>
      </c>
      <c r="G162" s="5"/>
      <c r="H162" s="5">
        <v>25000</v>
      </c>
      <c r="I162" s="6">
        <f aca="true" t="shared" si="10" ref="I162:I180">SUM(G162:H162)</f>
        <v>25000</v>
      </c>
    </row>
    <row r="163" spans="1:9" ht="15">
      <c r="A163" s="15">
        <v>77</v>
      </c>
      <c r="B163" s="15">
        <v>3</v>
      </c>
      <c r="C163" s="19" t="s">
        <v>96</v>
      </c>
      <c r="D163" s="5"/>
      <c r="E163" s="5">
        <f>75000+40000+260000</f>
        <v>375000</v>
      </c>
      <c r="F163" s="6">
        <f t="shared" si="9"/>
        <v>375000</v>
      </c>
      <c r="G163" s="5"/>
      <c r="H163" s="5">
        <f>260000+75000+40000</f>
        <v>375000</v>
      </c>
      <c r="I163" s="6">
        <f t="shared" si="10"/>
        <v>375000</v>
      </c>
    </row>
    <row r="164" spans="1:9" ht="15">
      <c r="A164" s="15">
        <v>78</v>
      </c>
      <c r="B164" s="15">
        <v>4</v>
      </c>
      <c r="C164" s="19" t="s">
        <v>97</v>
      </c>
      <c r="D164" s="5"/>
      <c r="E164" s="5"/>
      <c r="F164" s="6">
        <f t="shared" si="9"/>
        <v>0</v>
      </c>
      <c r="G164" s="5"/>
      <c r="H164" s="5"/>
      <c r="I164" s="6">
        <f t="shared" si="10"/>
        <v>0</v>
      </c>
    </row>
    <row r="165" spans="1:9" ht="15">
      <c r="A165" s="15">
        <v>79</v>
      </c>
      <c r="B165" s="15">
        <v>5</v>
      </c>
      <c r="C165" s="19" t="s">
        <v>98</v>
      </c>
      <c r="D165" s="5"/>
      <c r="E165" s="5"/>
      <c r="F165" s="6">
        <f t="shared" si="9"/>
        <v>0</v>
      </c>
      <c r="G165" s="5"/>
      <c r="H165" s="5"/>
      <c r="I165" s="6">
        <f t="shared" si="10"/>
        <v>0</v>
      </c>
    </row>
    <row r="166" spans="1:9" ht="15">
      <c r="A166" s="15">
        <v>80</v>
      </c>
      <c r="B166" s="15">
        <v>6</v>
      </c>
      <c r="C166" s="20" t="s">
        <v>99</v>
      </c>
      <c r="D166" s="5">
        <f>20000000+20000000</f>
        <v>40000000</v>
      </c>
      <c r="E166" s="5"/>
      <c r="F166" s="6">
        <f t="shared" si="9"/>
        <v>40000000</v>
      </c>
      <c r="G166" s="5"/>
      <c r="H166" s="5"/>
      <c r="I166" s="6">
        <f t="shared" si="10"/>
        <v>0</v>
      </c>
    </row>
    <row r="167" spans="1:9" ht="15">
      <c r="A167" s="15">
        <v>81</v>
      </c>
      <c r="B167" s="15">
        <v>7</v>
      </c>
      <c r="C167" s="19" t="s">
        <v>100</v>
      </c>
      <c r="D167" s="5"/>
      <c r="E167" s="5"/>
      <c r="F167" s="6">
        <f t="shared" si="9"/>
        <v>0</v>
      </c>
      <c r="G167" s="5"/>
      <c r="H167" s="5"/>
      <c r="I167" s="6">
        <f t="shared" si="10"/>
        <v>0</v>
      </c>
    </row>
    <row r="168" spans="1:9" ht="15">
      <c r="A168" s="15">
        <v>82</v>
      </c>
      <c r="B168" s="15">
        <v>8</v>
      </c>
      <c r="C168" s="19" t="s">
        <v>101</v>
      </c>
      <c r="D168" s="5"/>
      <c r="E168" s="5"/>
      <c r="F168" s="6">
        <f t="shared" si="9"/>
        <v>0</v>
      </c>
      <c r="G168" s="5"/>
      <c r="H168" s="5"/>
      <c r="I168" s="6">
        <f t="shared" si="10"/>
        <v>0</v>
      </c>
    </row>
    <row r="169" spans="1:9" ht="15">
      <c r="A169" s="15">
        <v>83</v>
      </c>
      <c r="B169" s="15">
        <v>9</v>
      </c>
      <c r="C169" s="19" t="s">
        <v>102</v>
      </c>
      <c r="D169" s="5"/>
      <c r="E169" s="5"/>
      <c r="F169" s="6">
        <f t="shared" si="9"/>
        <v>0</v>
      </c>
      <c r="G169" s="5"/>
      <c r="H169" s="5"/>
      <c r="I169" s="6">
        <f t="shared" si="10"/>
        <v>0</v>
      </c>
    </row>
    <row r="170" spans="1:9" ht="15">
      <c r="A170" s="15">
        <v>84</v>
      </c>
      <c r="B170" s="15">
        <v>10</v>
      </c>
      <c r="C170" s="19" t="s">
        <v>103</v>
      </c>
      <c r="D170" s="5"/>
      <c r="E170" s="5"/>
      <c r="F170" s="6">
        <f t="shared" si="9"/>
        <v>0</v>
      </c>
      <c r="G170" s="5">
        <v>138000</v>
      </c>
      <c r="H170" s="5">
        <v>1500</v>
      </c>
      <c r="I170" s="6">
        <f t="shared" si="10"/>
        <v>139500</v>
      </c>
    </row>
    <row r="171" spans="1:9" ht="15">
      <c r="A171" s="15">
        <v>85</v>
      </c>
      <c r="B171" s="15">
        <v>11</v>
      </c>
      <c r="C171" s="19" t="s">
        <v>104</v>
      </c>
      <c r="D171" s="5">
        <f>5458982+5293952</f>
        <v>10752934</v>
      </c>
      <c r="E171" s="5"/>
      <c r="F171" s="6">
        <f t="shared" si="9"/>
        <v>10752934</v>
      </c>
      <c r="G171" s="5">
        <v>5554052</v>
      </c>
      <c r="H171" s="5"/>
      <c r="I171" s="6">
        <f t="shared" si="10"/>
        <v>5554052</v>
      </c>
    </row>
    <row r="172" spans="1:9" ht="15">
      <c r="A172" s="15">
        <v>86</v>
      </c>
      <c r="B172" s="15">
        <v>12</v>
      </c>
      <c r="C172" s="19" t="s">
        <v>105</v>
      </c>
      <c r="D172" s="5"/>
      <c r="E172" s="5"/>
      <c r="F172" s="6">
        <f t="shared" si="9"/>
        <v>0</v>
      </c>
      <c r="G172" s="5"/>
      <c r="H172" s="5"/>
      <c r="I172" s="6">
        <f t="shared" si="10"/>
        <v>0</v>
      </c>
    </row>
    <row r="173" spans="1:9" ht="15">
      <c r="A173" s="15">
        <v>87</v>
      </c>
      <c r="B173" s="15">
        <v>13</v>
      </c>
      <c r="C173" s="19" t="s">
        <v>106</v>
      </c>
      <c r="D173" s="5"/>
      <c r="E173" s="5">
        <v>170000</v>
      </c>
      <c r="F173" s="6">
        <f t="shared" si="9"/>
        <v>170000</v>
      </c>
      <c r="G173" s="5"/>
      <c r="H173" s="5">
        <v>170000</v>
      </c>
      <c r="I173" s="6">
        <f t="shared" si="10"/>
        <v>170000</v>
      </c>
    </row>
    <row r="174" spans="1:9" ht="15">
      <c r="A174" s="15">
        <v>88</v>
      </c>
      <c r="B174" s="15">
        <v>14</v>
      </c>
      <c r="C174" s="19" t="s">
        <v>251</v>
      </c>
      <c r="D174" s="5"/>
      <c r="E174" s="5">
        <v>62000</v>
      </c>
      <c r="F174" s="6">
        <f t="shared" si="9"/>
        <v>62000</v>
      </c>
      <c r="G174" s="5"/>
      <c r="H174" s="5">
        <v>62000</v>
      </c>
      <c r="I174" s="6">
        <f t="shared" si="10"/>
        <v>62000</v>
      </c>
    </row>
    <row r="175" spans="1:9" ht="15">
      <c r="A175" s="15">
        <v>89</v>
      </c>
      <c r="B175" s="15">
        <v>15</v>
      </c>
      <c r="C175" s="19" t="s">
        <v>108</v>
      </c>
      <c r="D175" s="5">
        <v>477000</v>
      </c>
      <c r="E175" s="5">
        <v>460000</v>
      </c>
      <c r="F175" s="6">
        <f t="shared" si="9"/>
        <v>937000</v>
      </c>
      <c r="G175" s="5">
        <v>477000</v>
      </c>
      <c r="H175" s="5">
        <f>460000</f>
        <v>460000</v>
      </c>
      <c r="I175" s="6">
        <f t="shared" si="10"/>
        <v>937000</v>
      </c>
    </row>
    <row r="176" spans="1:9" ht="15">
      <c r="A176" s="15">
        <v>90</v>
      </c>
      <c r="B176" s="15">
        <v>16</v>
      </c>
      <c r="C176" s="19" t="s">
        <v>109</v>
      </c>
      <c r="D176" s="5">
        <v>788100</v>
      </c>
      <c r="E176" s="5">
        <f>400000+325000</f>
        <v>725000</v>
      </c>
      <c r="F176" s="6">
        <f t="shared" si="9"/>
        <v>1513100</v>
      </c>
      <c r="G176" s="5">
        <v>788100</v>
      </c>
      <c r="H176" s="5">
        <f>401000+325000</f>
        <v>726000</v>
      </c>
      <c r="I176" s="6">
        <f t="shared" si="10"/>
        <v>1514100</v>
      </c>
    </row>
    <row r="177" spans="1:9" ht="15">
      <c r="A177" s="15">
        <v>91</v>
      </c>
      <c r="B177" s="15">
        <v>17</v>
      </c>
      <c r="C177" s="19" t="s">
        <v>110</v>
      </c>
      <c r="D177" s="5"/>
      <c r="E177" s="5"/>
      <c r="F177" s="6">
        <f t="shared" si="9"/>
        <v>0</v>
      </c>
      <c r="G177" s="5"/>
      <c r="H177" s="5"/>
      <c r="I177" s="6">
        <f t="shared" si="10"/>
        <v>0</v>
      </c>
    </row>
    <row r="178" spans="1:9" ht="15">
      <c r="A178" s="15">
        <v>92</v>
      </c>
      <c r="B178" s="15">
        <v>18</v>
      </c>
      <c r="C178" s="19" t="s">
        <v>111</v>
      </c>
      <c r="D178" s="5"/>
      <c r="E178" s="5"/>
      <c r="F178" s="6">
        <f t="shared" si="9"/>
        <v>0</v>
      </c>
      <c r="G178" s="5"/>
      <c r="H178" s="5"/>
      <c r="I178" s="6">
        <f t="shared" si="10"/>
        <v>0</v>
      </c>
    </row>
    <row r="179" spans="1:9" ht="15">
      <c r="A179" s="15">
        <v>93</v>
      </c>
      <c r="B179" s="15">
        <v>19</v>
      </c>
      <c r="C179" s="19" t="s">
        <v>112</v>
      </c>
      <c r="D179" s="5"/>
      <c r="E179" s="5"/>
      <c r="F179" s="6">
        <f t="shared" si="9"/>
        <v>0</v>
      </c>
      <c r="G179" s="5"/>
      <c r="H179" s="5"/>
      <c r="I179" s="6">
        <f t="shared" si="10"/>
        <v>0</v>
      </c>
    </row>
    <row r="180" spans="1:9" ht="15">
      <c r="A180" s="15">
        <v>94</v>
      </c>
      <c r="B180" s="15">
        <v>20</v>
      </c>
      <c r="C180" s="19" t="s">
        <v>113</v>
      </c>
      <c r="D180" s="5"/>
      <c r="E180" s="5"/>
      <c r="F180" s="6">
        <f t="shared" si="9"/>
        <v>0</v>
      </c>
      <c r="G180" s="5"/>
      <c r="H180" s="5"/>
      <c r="I180" s="6">
        <f t="shared" si="10"/>
        <v>0</v>
      </c>
    </row>
    <row r="181" spans="1:9" ht="15">
      <c r="A181" s="15">
        <v>95</v>
      </c>
      <c r="B181" s="15">
        <v>21</v>
      </c>
      <c r="C181" s="19" t="s">
        <v>114</v>
      </c>
      <c r="D181" s="5"/>
      <c r="E181" s="5"/>
      <c r="F181" s="6">
        <f>SUM(D181:E181)</f>
        <v>0</v>
      </c>
      <c r="G181" s="5"/>
      <c r="H181" s="5"/>
      <c r="I181" s="6">
        <f>SUM(G181:H181)</f>
        <v>0</v>
      </c>
    </row>
    <row r="182" spans="1:9" ht="15">
      <c r="A182" s="15">
        <v>96</v>
      </c>
      <c r="B182" s="15">
        <v>22</v>
      </c>
      <c r="C182" s="19" t="s">
        <v>115</v>
      </c>
      <c r="D182" s="5"/>
      <c r="E182" s="5"/>
      <c r="F182" s="6">
        <f t="shared" si="9"/>
        <v>0</v>
      </c>
      <c r="G182" s="5"/>
      <c r="H182" s="5"/>
      <c r="I182" s="6">
        <f>SUM(G182:H182)</f>
        <v>0</v>
      </c>
    </row>
    <row r="183" spans="1:9" ht="15">
      <c r="A183" s="15">
        <v>97</v>
      </c>
      <c r="B183" s="15">
        <v>23</v>
      </c>
      <c r="C183" s="19" t="s">
        <v>116</v>
      </c>
      <c r="D183" s="5"/>
      <c r="E183" s="5"/>
      <c r="F183" s="6">
        <f t="shared" si="9"/>
        <v>0</v>
      </c>
      <c r="G183" s="5"/>
      <c r="H183" s="5"/>
      <c r="I183" s="6">
        <f>SUM(G183:H183)</f>
        <v>0</v>
      </c>
    </row>
    <row r="184" spans="1:9" ht="15">
      <c r="A184" s="224" t="s">
        <v>5</v>
      </c>
      <c r="B184" s="225"/>
      <c r="C184" s="225"/>
      <c r="D184" s="7">
        <f>SUM(D161:D183)</f>
        <v>53293939</v>
      </c>
      <c r="E184" s="7">
        <f>SUM(E161:E183)</f>
        <v>1916000</v>
      </c>
      <c r="F184" s="7">
        <f>SUM(D184:E184)</f>
        <v>55209939</v>
      </c>
      <c r="G184" s="7">
        <f>SUM(G161:G183)</f>
        <v>8335272</v>
      </c>
      <c r="H184" s="7">
        <f>SUM(H161:H183)</f>
        <v>1922000</v>
      </c>
      <c r="I184" s="7">
        <f>SUM(G184:H184)</f>
        <v>10257272</v>
      </c>
    </row>
    <row r="185" spans="1:9" ht="15">
      <c r="A185" s="224" t="s">
        <v>117</v>
      </c>
      <c r="B185" s="225"/>
      <c r="C185" s="225"/>
      <c r="D185" s="225"/>
      <c r="E185" s="225"/>
      <c r="F185" s="225"/>
      <c r="G185" s="225"/>
      <c r="H185" s="225"/>
      <c r="I185" s="226"/>
    </row>
    <row r="186" spans="1:9" ht="15">
      <c r="A186" s="15">
        <v>98</v>
      </c>
      <c r="B186" s="15">
        <v>1</v>
      </c>
      <c r="C186" s="10" t="s">
        <v>118</v>
      </c>
      <c r="D186" s="5"/>
      <c r="E186" s="5"/>
      <c r="F186" s="6">
        <f>SUM(D186:E186)</f>
        <v>0</v>
      </c>
      <c r="G186" s="5"/>
      <c r="H186" s="5">
        <v>116000</v>
      </c>
      <c r="I186" s="6">
        <f>SUM(G186:H186)</f>
        <v>116000</v>
      </c>
    </row>
    <row r="187" spans="1:9" ht="15">
      <c r="A187" s="15">
        <v>99</v>
      </c>
      <c r="B187" s="15">
        <v>2</v>
      </c>
      <c r="C187" s="17" t="s">
        <v>119</v>
      </c>
      <c r="D187" s="5">
        <v>374475</v>
      </c>
      <c r="E187" s="5">
        <v>72200</v>
      </c>
      <c r="F187" s="6">
        <f aca="true" t="shared" si="11" ref="F187:F237">SUM(D187:E187)</f>
        <v>446675</v>
      </c>
      <c r="G187" s="5">
        <v>374475</v>
      </c>
      <c r="H187" s="5">
        <v>72200</v>
      </c>
      <c r="I187" s="6">
        <f aca="true" t="shared" si="12" ref="I187:I195">SUM(G187:H187)</f>
        <v>446675</v>
      </c>
    </row>
    <row r="188" spans="1:9" ht="15">
      <c r="A188" s="15">
        <v>100</v>
      </c>
      <c r="B188" s="15">
        <v>3</v>
      </c>
      <c r="C188" s="17" t="s">
        <v>120</v>
      </c>
      <c r="D188" s="5"/>
      <c r="E188" s="5">
        <v>80000</v>
      </c>
      <c r="F188" s="6">
        <f t="shared" si="11"/>
        <v>80000</v>
      </c>
      <c r="G188" s="5"/>
      <c r="H188" s="5">
        <v>80000</v>
      </c>
      <c r="I188" s="6">
        <f t="shared" si="12"/>
        <v>80000</v>
      </c>
    </row>
    <row r="189" spans="1:9" ht="15">
      <c r="A189" s="15">
        <v>101</v>
      </c>
      <c r="B189" s="15">
        <v>4</v>
      </c>
      <c r="C189" s="10" t="s">
        <v>121</v>
      </c>
      <c r="D189" s="5"/>
      <c r="E189" s="5"/>
      <c r="F189" s="6">
        <f t="shared" si="11"/>
        <v>0</v>
      </c>
      <c r="G189" s="5">
        <v>1206000</v>
      </c>
      <c r="H189" s="5">
        <v>123000</v>
      </c>
      <c r="I189" s="6">
        <f t="shared" si="12"/>
        <v>1329000</v>
      </c>
    </row>
    <row r="190" spans="1:9" ht="15">
      <c r="A190" s="15">
        <v>102</v>
      </c>
      <c r="B190" s="15">
        <v>5</v>
      </c>
      <c r="C190" s="23" t="s">
        <v>122</v>
      </c>
      <c r="D190" s="5"/>
      <c r="E190" s="5"/>
      <c r="F190" s="6">
        <f t="shared" si="11"/>
        <v>0</v>
      </c>
      <c r="G190" s="5"/>
      <c r="H190" s="5"/>
      <c r="I190" s="6">
        <f t="shared" si="12"/>
        <v>0</v>
      </c>
    </row>
    <row r="191" spans="1:9" ht="15">
      <c r="A191" s="15">
        <v>103</v>
      </c>
      <c r="B191" s="15">
        <v>6</v>
      </c>
      <c r="C191" s="23" t="s">
        <v>123</v>
      </c>
      <c r="D191" s="5">
        <v>195500</v>
      </c>
      <c r="E191" s="5">
        <v>350000</v>
      </c>
      <c r="F191" s="6">
        <f t="shared" si="11"/>
        <v>545500</v>
      </c>
      <c r="G191" s="5">
        <v>195500</v>
      </c>
      <c r="H191" s="5">
        <v>350000</v>
      </c>
      <c r="I191" s="6">
        <f t="shared" si="12"/>
        <v>545500</v>
      </c>
    </row>
    <row r="192" spans="1:9" ht="15">
      <c r="A192" s="15">
        <v>104</v>
      </c>
      <c r="B192" s="15">
        <v>7</v>
      </c>
      <c r="C192" s="23" t="s">
        <v>124</v>
      </c>
      <c r="D192" s="5"/>
      <c r="E192" s="5"/>
      <c r="F192" s="6">
        <f t="shared" si="11"/>
        <v>0</v>
      </c>
      <c r="G192" s="5"/>
      <c r="H192" s="5"/>
      <c r="I192" s="6">
        <f t="shared" si="12"/>
        <v>0</v>
      </c>
    </row>
    <row r="193" spans="1:9" ht="15">
      <c r="A193" s="15">
        <v>105</v>
      </c>
      <c r="B193" s="15">
        <v>8</v>
      </c>
      <c r="C193" s="23" t="s">
        <v>125</v>
      </c>
      <c r="D193" s="5"/>
      <c r="E193" s="5"/>
      <c r="F193" s="6">
        <f t="shared" si="11"/>
        <v>0</v>
      </c>
      <c r="G193" s="5"/>
      <c r="H193" s="5"/>
      <c r="I193" s="6">
        <f t="shared" si="12"/>
        <v>0</v>
      </c>
    </row>
    <row r="194" spans="1:9" ht="15">
      <c r="A194" s="15">
        <v>106</v>
      </c>
      <c r="B194" s="15">
        <v>9</v>
      </c>
      <c r="C194" s="23" t="s">
        <v>126</v>
      </c>
      <c r="D194" s="5"/>
      <c r="E194" s="5"/>
      <c r="F194" s="6">
        <f t="shared" si="11"/>
        <v>0</v>
      </c>
      <c r="G194" s="5"/>
      <c r="H194" s="5"/>
      <c r="I194" s="6">
        <f t="shared" si="12"/>
        <v>0</v>
      </c>
    </row>
    <row r="195" spans="1:9" ht="15">
      <c r="A195" s="15">
        <v>107</v>
      </c>
      <c r="B195" s="15">
        <v>10</v>
      </c>
      <c r="C195" s="23" t="s">
        <v>127</v>
      </c>
      <c r="D195" s="5"/>
      <c r="E195" s="5">
        <f>309000+309000</f>
        <v>618000</v>
      </c>
      <c r="F195" s="6">
        <f t="shared" si="11"/>
        <v>618000</v>
      </c>
      <c r="G195" s="5"/>
      <c r="H195" s="5"/>
      <c r="I195" s="6">
        <f t="shared" si="12"/>
        <v>0</v>
      </c>
    </row>
    <row r="196" spans="1:9" ht="15">
      <c r="A196" s="15">
        <v>108</v>
      </c>
      <c r="B196" s="15">
        <v>11</v>
      </c>
      <c r="C196" s="23" t="s">
        <v>129</v>
      </c>
      <c r="D196" s="5"/>
      <c r="E196" s="5"/>
      <c r="F196" s="6">
        <f>SUM(D196:E196)</f>
        <v>0</v>
      </c>
      <c r="G196" s="5"/>
      <c r="H196" s="5">
        <f>300000*4</f>
        <v>1200000</v>
      </c>
      <c r="I196" s="6">
        <f>SUM(G196:H196)</f>
        <v>1200000</v>
      </c>
    </row>
    <row r="197" spans="1:9" ht="15">
      <c r="A197" s="15">
        <v>109</v>
      </c>
      <c r="B197" s="15">
        <v>12</v>
      </c>
      <c r="C197" s="24" t="s">
        <v>128</v>
      </c>
      <c r="D197" s="86"/>
      <c r="E197" s="5">
        <v>400000</v>
      </c>
      <c r="F197" s="6">
        <f>SUM(D197:E197)</f>
        <v>400000</v>
      </c>
      <c r="G197" s="86"/>
      <c r="H197" s="5">
        <v>400000</v>
      </c>
      <c r="I197" s="6">
        <f>SUM(G197:H197)</f>
        <v>400000</v>
      </c>
    </row>
    <row r="198" spans="1:9" ht="15">
      <c r="A198" s="15">
        <v>110</v>
      </c>
      <c r="B198" s="15">
        <v>13</v>
      </c>
      <c r="C198" s="23" t="s">
        <v>130</v>
      </c>
      <c r="D198" s="5"/>
      <c r="E198" s="5"/>
      <c r="F198" s="6">
        <f t="shared" si="11"/>
        <v>0</v>
      </c>
      <c r="G198" s="5"/>
      <c r="H198" s="5"/>
      <c r="I198" s="6">
        <f aca="true" t="shared" si="13" ref="I198:I237">SUM(G198:H198)</f>
        <v>0</v>
      </c>
    </row>
    <row r="199" spans="1:9" ht="15">
      <c r="A199" s="15">
        <v>111</v>
      </c>
      <c r="B199" s="15">
        <v>14</v>
      </c>
      <c r="C199" s="23" t="s">
        <v>131</v>
      </c>
      <c r="D199" s="5"/>
      <c r="E199" s="5"/>
      <c r="F199" s="6">
        <f t="shared" si="11"/>
        <v>0</v>
      </c>
      <c r="G199" s="5"/>
      <c r="H199" s="5"/>
      <c r="I199" s="6">
        <f t="shared" si="13"/>
        <v>0</v>
      </c>
    </row>
    <row r="200" spans="1:9" ht="15">
      <c r="A200" s="15">
        <v>112</v>
      </c>
      <c r="B200" s="15">
        <v>15</v>
      </c>
      <c r="C200" s="23" t="s">
        <v>132</v>
      </c>
      <c r="D200" s="5"/>
      <c r="E200" s="5">
        <v>48000</v>
      </c>
      <c r="F200" s="6">
        <f t="shared" si="11"/>
        <v>48000</v>
      </c>
      <c r="G200" s="5">
        <v>46000</v>
      </c>
      <c r="H200" s="5"/>
      <c r="I200" s="6">
        <f t="shared" si="13"/>
        <v>46000</v>
      </c>
    </row>
    <row r="201" spans="1:9" ht="15">
      <c r="A201" s="15">
        <v>113</v>
      </c>
      <c r="B201" s="15">
        <v>16</v>
      </c>
      <c r="C201" s="23" t="s">
        <v>133</v>
      </c>
      <c r="D201" s="5"/>
      <c r="E201" s="5"/>
      <c r="F201" s="6">
        <f t="shared" si="11"/>
        <v>0</v>
      </c>
      <c r="G201" s="5"/>
      <c r="H201" s="5"/>
      <c r="I201" s="6">
        <f t="shared" si="13"/>
        <v>0</v>
      </c>
    </row>
    <row r="202" spans="1:9" ht="15">
      <c r="A202" s="15">
        <v>114</v>
      </c>
      <c r="B202" s="15">
        <v>17</v>
      </c>
      <c r="C202" s="23" t="s">
        <v>134</v>
      </c>
      <c r="D202" s="5"/>
      <c r="E202" s="5">
        <v>17000</v>
      </c>
      <c r="F202" s="6">
        <f t="shared" si="11"/>
        <v>17000</v>
      </c>
      <c r="G202" s="5"/>
      <c r="H202" s="5">
        <v>17000</v>
      </c>
      <c r="I202" s="6">
        <f t="shared" si="13"/>
        <v>17000</v>
      </c>
    </row>
    <row r="203" spans="1:9" ht="15">
      <c r="A203" s="15">
        <v>115</v>
      </c>
      <c r="B203" s="15">
        <v>18</v>
      </c>
      <c r="C203" s="23" t="s">
        <v>135</v>
      </c>
      <c r="D203" s="5"/>
      <c r="E203" s="5"/>
      <c r="F203" s="6">
        <f t="shared" si="11"/>
        <v>0</v>
      </c>
      <c r="G203" s="5"/>
      <c r="H203" s="5"/>
      <c r="I203" s="6">
        <f t="shared" si="13"/>
        <v>0</v>
      </c>
    </row>
    <row r="204" spans="1:9" ht="15">
      <c r="A204" s="15">
        <v>116</v>
      </c>
      <c r="B204" s="15">
        <v>19</v>
      </c>
      <c r="C204" s="23" t="s">
        <v>136</v>
      </c>
      <c r="D204" s="5"/>
      <c r="E204" s="5">
        <v>187000</v>
      </c>
      <c r="F204" s="6">
        <f t="shared" si="11"/>
        <v>187000</v>
      </c>
      <c r="G204" s="5"/>
      <c r="H204" s="5"/>
      <c r="I204" s="6">
        <f t="shared" si="13"/>
        <v>0</v>
      </c>
    </row>
    <row r="205" spans="1:9" ht="15">
      <c r="A205" s="15">
        <v>117</v>
      </c>
      <c r="B205" s="15">
        <v>20</v>
      </c>
      <c r="C205" s="23" t="s">
        <v>137</v>
      </c>
      <c r="D205" s="5"/>
      <c r="E205" s="5"/>
      <c r="F205" s="6">
        <f t="shared" si="11"/>
        <v>0</v>
      </c>
      <c r="G205" s="5"/>
      <c r="H205" s="5"/>
      <c r="I205" s="6">
        <f t="shared" si="13"/>
        <v>0</v>
      </c>
    </row>
    <row r="206" spans="1:9" ht="15">
      <c r="A206" s="15">
        <v>118</v>
      </c>
      <c r="B206" s="15">
        <v>21</v>
      </c>
      <c r="C206" s="23" t="s">
        <v>138</v>
      </c>
      <c r="D206" s="5">
        <v>90000</v>
      </c>
      <c r="E206" s="5">
        <v>145000</v>
      </c>
      <c r="F206" s="6">
        <f t="shared" si="11"/>
        <v>235000</v>
      </c>
      <c r="G206" s="5"/>
      <c r="H206" s="5">
        <v>140000</v>
      </c>
      <c r="I206" s="6">
        <f t="shared" si="13"/>
        <v>140000</v>
      </c>
    </row>
    <row r="207" spans="1:9" ht="15">
      <c r="A207" s="15">
        <v>119</v>
      </c>
      <c r="B207" s="15">
        <v>22</v>
      </c>
      <c r="C207" s="23" t="s">
        <v>139</v>
      </c>
      <c r="D207" s="5"/>
      <c r="E207" s="5">
        <v>175000</v>
      </c>
      <c r="F207" s="6">
        <f t="shared" si="11"/>
        <v>175000</v>
      </c>
      <c r="G207" s="5"/>
      <c r="H207" s="5">
        <v>170000</v>
      </c>
      <c r="I207" s="6">
        <f t="shared" si="13"/>
        <v>170000</v>
      </c>
    </row>
    <row r="208" spans="1:9" ht="15">
      <c r="A208" s="15">
        <v>120</v>
      </c>
      <c r="B208" s="15">
        <v>23</v>
      </c>
      <c r="C208" s="23" t="s">
        <v>140</v>
      </c>
      <c r="D208" s="5"/>
      <c r="E208" s="5"/>
      <c r="F208" s="6">
        <f t="shared" si="11"/>
        <v>0</v>
      </c>
      <c r="G208" s="5"/>
      <c r="H208" s="5"/>
      <c r="I208" s="6">
        <f t="shared" si="13"/>
        <v>0</v>
      </c>
    </row>
    <row r="209" spans="1:9" ht="15">
      <c r="A209" s="15">
        <v>121</v>
      </c>
      <c r="B209" s="15">
        <v>24</v>
      </c>
      <c r="C209" s="23" t="s">
        <v>141</v>
      </c>
      <c r="D209" s="5">
        <v>154000</v>
      </c>
      <c r="E209" s="5">
        <v>695000</v>
      </c>
      <c r="F209" s="6">
        <f t="shared" si="11"/>
        <v>849000</v>
      </c>
      <c r="G209" s="5">
        <v>154000</v>
      </c>
      <c r="H209" s="5">
        <v>695000</v>
      </c>
      <c r="I209" s="6">
        <f t="shared" si="13"/>
        <v>849000</v>
      </c>
    </row>
    <row r="210" spans="1:9" ht="15">
      <c r="A210" s="15">
        <v>122</v>
      </c>
      <c r="B210" s="15">
        <v>25</v>
      </c>
      <c r="C210" s="23" t="s">
        <v>142</v>
      </c>
      <c r="D210" s="5">
        <v>354000</v>
      </c>
      <c r="E210" s="5"/>
      <c r="F210" s="6">
        <f t="shared" si="11"/>
        <v>354000</v>
      </c>
      <c r="G210" s="5">
        <v>354000</v>
      </c>
      <c r="H210" s="5"/>
      <c r="I210" s="6">
        <f t="shared" si="13"/>
        <v>354000</v>
      </c>
    </row>
    <row r="211" spans="1:9" ht="15">
      <c r="A211" s="15">
        <v>123</v>
      </c>
      <c r="B211" s="15">
        <v>26</v>
      </c>
      <c r="C211" s="23" t="s">
        <v>143</v>
      </c>
      <c r="D211" s="5"/>
      <c r="E211" s="5"/>
      <c r="F211" s="6">
        <f t="shared" si="11"/>
        <v>0</v>
      </c>
      <c r="G211" s="5"/>
      <c r="H211" s="5"/>
      <c r="I211" s="6">
        <f t="shared" si="13"/>
        <v>0</v>
      </c>
    </row>
    <row r="212" spans="1:9" ht="15">
      <c r="A212" s="15">
        <v>124</v>
      </c>
      <c r="B212" s="15">
        <v>27</v>
      </c>
      <c r="C212" s="23" t="s">
        <v>144</v>
      </c>
      <c r="D212" s="5">
        <v>833000</v>
      </c>
      <c r="E212" s="5"/>
      <c r="F212" s="6">
        <f t="shared" si="11"/>
        <v>833000</v>
      </c>
      <c r="G212" s="5">
        <v>835000</v>
      </c>
      <c r="H212" s="5"/>
      <c r="I212" s="6">
        <f t="shared" si="13"/>
        <v>835000</v>
      </c>
    </row>
    <row r="213" spans="1:9" ht="15">
      <c r="A213" s="15">
        <v>125</v>
      </c>
      <c r="B213" s="15">
        <v>28</v>
      </c>
      <c r="C213" s="23" t="s">
        <v>145</v>
      </c>
      <c r="D213" s="5"/>
      <c r="E213" s="5"/>
      <c r="F213" s="6">
        <f t="shared" si="11"/>
        <v>0</v>
      </c>
      <c r="G213" s="5"/>
      <c r="H213" s="5"/>
      <c r="I213" s="6">
        <f t="shared" si="13"/>
        <v>0</v>
      </c>
    </row>
    <row r="214" spans="1:9" ht="15">
      <c r="A214" s="15">
        <v>126</v>
      </c>
      <c r="B214" s="15">
        <v>29</v>
      </c>
      <c r="C214" s="23" t="s">
        <v>146</v>
      </c>
      <c r="D214" s="5"/>
      <c r="E214" s="5"/>
      <c r="F214" s="6">
        <f t="shared" si="11"/>
        <v>0</v>
      </c>
      <c r="G214" s="5"/>
      <c r="H214" s="5">
        <v>882000</v>
      </c>
      <c r="I214" s="6">
        <f t="shared" si="13"/>
        <v>882000</v>
      </c>
    </row>
    <row r="215" spans="1:9" ht="15">
      <c r="A215" s="15">
        <v>127</v>
      </c>
      <c r="B215" s="15">
        <v>30</v>
      </c>
      <c r="C215" s="23" t="s">
        <v>147</v>
      </c>
      <c r="D215" s="5"/>
      <c r="E215" s="5"/>
      <c r="F215" s="6">
        <f t="shared" si="11"/>
        <v>0</v>
      </c>
      <c r="G215" s="5"/>
      <c r="H215" s="5"/>
      <c r="I215" s="6">
        <f t="shared" si="13"/>
        <v>0</v>
      </c>
    </row>
    <row r="216" spans="1:9" ht="15">
      <c r="A216" s="15">
        <v>128</v>
      </c>
      <c r="B216" s="15">
        <v>31</v>
      </c>
      <c r="C216" s="23" t="s">
        <v>148</v>
      </c>
      <c r="D216" s="5"/>
      <c r="E216" s="5"/>
      <c r="F216" s="6">
        <f t="shared" si="11"/>
        <v>0</v>
      </c>
      <c r="G216" s="5"/>
      <c r="H216" s="5"/>
      <c r="I216" s="6">
        <f t="shared" si="13"/>
        <v>0</v>
      </c>
    </row>
    <row r="217" spans="1:9" ht="15">
      <c r="A217" s="15">
        <v>129</v>
      </c>
      <c r="B217" s="15">
        <v>32</v>
      </c>
      <c r="C217" s="23" t="s">
        <v>149</v>
      </c>
      <c r="D217" s="5"/>
      <c r="E217" s="5"/>
      <c r="F217" s="6">
        <f t="shared" si="11"/>
        <v>0</v>
      </c>
      <c r="G217" s="5"/>
      <c r="H217" s="5">
        <v>446000</v>
      </c>
      <c r="I217" s="6">
        <f t="shared" si="13"/>
        <v>446000</v>
      </c>
    </row>
    <row r="218" spans="1:9" ht="15">
      <c r="A218" s="15">
        <v>130</v>
      </c>
      <c r="B218" s="15">
        <v>33</v>
      </c>
      <c r="C218" s="23" t="s">
        <v>150</v>
      </c>
      <c r="D218" s="5"/>
      <c r="E218" s="5">
        <v>84000</v>
      </c>
      <c r="F218" s="6">
        <f t="shared" si="11"/>
        <v>84000</v>
      </c>
      <c r="G218" s="5"/>
      <c r="H218" s="5"/>
      <c r="I218" s="6">
        <f t="shared" si="13"/>
        <v>0</v>
      </c>
    </row>
    <row r="219" spans="1:9" ht="15">
      <c r="A219" s="15">
        <v>131</v>
      </c>
      <c r="B219" s="15">
        <v>34</v>
      </c>
      <c r="C219" s="23" t="s">
        <v>151</v>
      </c>
      <c r="D219" s="5"/>
      <c r="E219" s="5"/>
      <c r="F219" s="6">
        <f t="shared" si="11"/>
        <v>0</v>
      </c>
      <c r="G219" s="5"/>
      <c r="H219" s="5"/>
      <c r="I219" s="6">
        <f t="shared" si="13"/>
        <v>0</v>
      </c>
    </row>
    <row r="220" spans="1:9" ht="15">
      <c r="A220" s="15">
        <v>132</v>
      </c>
      <c r="B220" s="15">
        <v>35</v>
      </c>
      <c r="C220" s="23" t="s">
        <v>152</v>
      </c>
      <c r="D220" s="5"/>
      <c r="E220" s="5"/>
      <c r="F220" s="6">
        <f t="shared" si="11"/>
        <v>0</v>
      </c>
      <c r="G220" s="5"/>
      <c r="H220" s="5"/>
      <c r="I220" s="6">
        <f t="shared" si="13"/>
        <v>0</v>
      </c>
    </row>
    <row r="221" spans="1:9" ht="15">
      <c r="A221" s="15">
        <v>133</v>
      </c>
      <c r="B221" s="15">
        <v>36</v>
      </c>
      <c r="C221" s="23" t="s">
        <v>153</v>
      </c>
      <c r="D221" s="5"/>
      <c r="E221" s="5"/>
      <c r="F221" s="6">
        <f t="shared" si="11"/>
        <v>0</v>
      </c>
      <c r="G221" s="5"/>
      <c r="H221" s="5"/>
      <c r="I221" s="6">
        <f t="shared" si="13"/>
        <v>0</v>
      </c>
    </row>
    <row r="222" spans="1:9" ht="15">
      <c r="A222" s="15">
        <v>134</v>
      </c>
      <c r="B222" s="15">
        <v>37</v>
      </c>
      <c r="C222" s="23" t="s">
        <v>154</v>
      </c>
      <c r="D222" s="5"/>
      <c r="E222" s="5"/>
      <c r="F222" s="6">
        <f t="shared" si="11"/>
        <v>0</v>
      </c>
      <c r="G222" s="5"/>
      <c r="H222" s="5"/>
      <c r="I222" s="6">
        <f t="shared" si="13"/>
        <v>0</v>
      </c>
    </row>
    <row r="223" spans="1:9" ht="15">
      <c r="A223" s="15">
        <v>135</v>
      </c>
      <c r="B223" s="15">
        <v>38</v>
      </c>
      <c r="C223" s="23" t="s">
        <v>155</v>
      </c>
      <c r="D223" s="5"/>
      <c r="E223" s="5"/>
      <c r="F223" s="6">
        <f t="shared" si="11"/>
        <v>0</v>
      </c>
      <c r="G223" s="5"/>
      <c r="H223" s="5"/>
      <c r="I223" s="6">
        <f t="shared" si="13"/>
        <v>0</v>
      </c>
    </row>
    <row r="224" spans="1:9" ht="15">
      <c r="A224" s="15">
        <v>136</v>
      </c>
      <c r="B224" s="15">
        <v>39</v>
      </c>
      <c r="C224" s="23" t="s">
        <v>156</v>
      </c>
      <c r="D224" s="5"/>
      <c r="E224" s="5">
        <v>330000</v>
      </c>
      <c r="F224" s="6">
        <f t="shared" si="11"/>
        <v>330000</v>
      </c>
      <c r="G224" s="5"/>
      <c r="H224" s="5"/>
      <c r="I224" s="6">
        <f t="shared" si="13"/>
        <v>0</v>
      </c>
    </row>
    <row r="225" spans="1:9" ht="15">
      <c r="A225" s="15">
        <v>137</v>
      </c>
      <c r="B225" s="15">
        <v>40</v>
      </c>
      <c r="C225" s="23" t="s">
        <v>157</v>
      </c>
      <c r="D225" s="5"/>
      <c r="E225" s="5"/>
      <c r="F225" s="6">
        <f t="shared" si="11"/>
        <v>0</v>
      </c>
      <c r="G225" s="5"/>
      <c r="H225" s="5"/>
      <c r="I225" s="6">
        <f t="shared" si="13"/>
        <v>0</v>
      </c>
    </row>
    <row r="226" spans="1:9" ht="15">
      <c r="A226" s="15">
        <v>138</v>
      </c>
      <c r="B226" s="15">
        <v>41</v>
      </c>
      <c r="C226" s="23" t="s">
        <v>158</v>
      </c>
      <c r="D226" s="5"/>
      <c r="E226" s="5"/>
      <c r="F226" s="6">
        <f t="shared" si="11"/>
        <v>0</v>
      </c>
      <c r="G226" s="5"/>
      <c r="H226" s="5"/>
      <c r="I226" s="6">
        <f t="shared" si="13"/>
        <v>0</v>
      </c>
    </row>
    <row r="227" spans="1:9" ht="15">
      <c r="A227" s="15">
        <v>139</v>
      </c>
      <c r="B227" s="15">
        <v>42</v>
      </c>
      <c r="C227" s="23" t="s">
        <v>159</v>
      </c>
      <c r="D227" s="5"/>
      <c r="E227" s="5"/>
      <c r="F227" s="6">
        <f t="shared" si="11"/>
        <v>0</v>
      </c>
      <c r="G227" s="5"/>
      <c r="H227" s="5">
        <v>320000</v>
      </c>
      <c r="I227" s="6">
        <f t="shared" si="13"/>
        <v>320000</v>
      </c>
    </row>
    <row r="228" spans="1:9" ht="15">
      <c r="A228" s="15">
        <v>140</v>
      </c>
      <c r="B228" s="15">
        <v>43</v>
      </c>
      <c r="C228" s="23" t="s">
        <v>160</v>
      </c>
      <c r="D228" s="5"/>
      <c r="E228" s="5"/>
      <c r="F228" s="6">
        <f t="shared" si="11"/>
        <v>0</v>
      </c>
      <c r="G228" s="5"/>
      <c r="H228" s="5"/>
      <c r="I228" s="6">
        <f t="shared" si="13"/>
        <v>0</v>
      </c>
    </row>
    <row r="229" spans="1:9" ht="15">
      <c r="A229" s="15">
        <v>141</v>
      </c>
      <c r="B229" s="15">
        <v>44</v>
      </c>
      <c r="C229" s="23" t="s">
        <v>161</v>
      </c>
      <c r="D229" s="5"/>
      <c r="E229" s="5"/>
      <c r="F229" s="6">
        <f t="shared" si="11"/>
        <v>0</v>
      </c>
      <c r="G229" s="5"/>
      <c r="H229" s="5"/>
      <c r="I229" s="6">
        <f t="shared" si="13"/>
        <v>0</v>
      </c>
    </row>
    <row r="230" spans="1:9" ht="15">
      <c r="A230" s="15">
        <v>142</v>
      </c>
      <c r="B230" s="15">
        <v>45</v>
      </c>
      <c r="C230" s="23" t="s">
        <v>246</v>
      </c>
      <c r="D230" s="5"/>
      <c r="E230" s="5"/>
      <c r="F230" s="6">
        <f>SUM(D230:E230)</f>
        <v>0</v>
      </c>
      <c r="G230" s="5"/>
      <c r="H230" s="5"/>
      <c r="I230" s="6">
        <f>SUM(G230:H230)</f>
        <v>0</v>
      </c>
    </row>
    <row r="231" spans="1:9" ht="15">
      <c r="A231" s="15">
        <v>143</v>
      </c>
      <c r="B231" s="15">
        <v>46</v>
      </c>
      <c r="C231" s="23" t="s">
        <v>169</v>
      </c>
      <c r="D231" s="5"/>
      <c r="E231" s="5"/>
      <c r="F231" s="6">
        <f>SUM(D231:E231)</f>
        <v>0</v>
      </c>
      <c r="G231" s="5"/>
      <c r="H231" s="5"/>
      <c r="I231" s="6">
        <f>SUM(G231:H231)</f>
        <v>0</v>
      </c>
    </row>
    <row r="232" spans="1:9" ht="15">
      <c r="A232" s="15">
        <v>144</v>
      </c>
      <c r="B232" s="15">
        <v>47</v>
      </c>
      <c r="C232" s="25" t="s">
        <v>170</v>
      </c>
      <c r="D232" s="5">
        <v>900000</v>
      </c>
      <c r="E232" s="5"/>
      <c r="F232" s="6">
        <f>SUM(D232:E232)</f>
        <v>900000</v>
      </c>
      <c r="G232" s="5">
        <v>1000000</v>
      </c>
      <c r="H232" s="5"/>
      <c r="I232" s="6">
        <f>SUM(G232:H232)</f>
        <v>1000000</v>
      </c>
    </row>
    <row r="233" spans="1:9" ht="15">
      <c r="A233" s="15">
        <v>145</v>
      </c>
      <c r="B233" s="15">
        <v>48</v>
      </c>
      <c r="C233" s="23" t="s">
        <v>162</v>
      </c>
      <c r="D233" s="5">
        <v>3000000</v>
      </c>
      <c r="E233" s="5"/>
      <c r="F233" s="6">
        <f t="shared" si="11"/>
        <v>3000000</v>
      </c>
      <c r="G233" s="5"/>
      <c r="H233" s="5"/>
      <c r="I233" s="6">
        <f t="shared" si="13"/>
        <v>0</v>
      </c>
    </row>
    <row r="234" spans="1:9" ht="15">
      <c r="A234" s="15">
        <v>146</v>
      </c>
      <c r="B234" s="15">
        <v>49</v>
      </c>
      <c r="C234" s="23" t="s">
        <v>165</v>
      </c>
      <c r="D234" s="5">
        <v>1000000</v>
      </c>
      <c r="E234" s="5"/>
      <c r="F234" s="6">
        <f t="shared" si="11"/>
        <v>1000000</v>
      </c>
      <c r="G234" s="5"/>
      <c r="H234" s="5"/>
      <c r="I234" s="6">
        <f t="shared" si="13"/>
        <v>0</v>
      </c>
    </row>
    <row r="235" spans="1:9" ht="15">
      <c r="A235" s="15">
        <v>147</v>
      </c>
      <c r="B235" s="15">
        <v>50</v>
      </c>
      <c r="C235" s="23" t="s">
        <v>166</v>
      </c>
      <c r="D235" s="5"/>
      <c r="E235" s="5"/>
      <c r="F235" s="6">
        <f t="shared" si="11"/>
        <v>0</v>
      </c>
      <c r="G235" s="5"/>
      <c r="H235" s="5"/>
      <c r="I235" s="6">
        <f t="shared" si="13"/>
        <v>0</v>
      </c>
    </row>
    <row r="236" spans="1:9" ht="15">
      <c r="A236" s="15">
        <v>148</v>
      </c>
      <c r="B236" s="15">
        <v>51</v>
      </c>
      <c r="C236" s="23" t="s">
        <v>167</v>
      </c>
      <c r="D236" s="5">
        <v>3400000</v>
      </c>
      <c r="E236" s="5"/>
      <c r="F236" s="6">
        <f t="shared" si="11"/>
        <v>3400000</v>
      </c>
      <c r="G236" s="5">
        <v>1000000</v>
      </c>
      <c r="H236" s="5"/>
      <c r="I236" s="6">
        <f t="shared" si="13"/>
        <v>1000000</v>
      </c>
    </row>
    <row r="237" spans="1:9" ht="15">
      <c r="A237" s="15">
        <v>149</v>
      </c>
      <c r="B237" s="15">
        <v>52</v>
      </c>
      <c r="C237" s="23" t="s">
        <v>168</v>
      </c>
      <c r="D237" s="5"/>
      <c r="E237" s="5"/>
      <c r="F237" s="6">
        <f t="shared" si="11"/>
        <v>0</v>
      </c>
      <c r="G237" s="5"/>
      <c r="H237" s="5"/>
      <c r="I237" s="6">
        <f t="shared" si="13"/>
        <v>0</v>
      </c>
    </row>
    <row r="238" spans="1:9" ht="15">
      <c r="A238" s="15">
        <v>150</v>
      </c>
      <c r="B238" s="15">
        <v>53</v>
      </c>
      <c r="C238" s="23" t="s">
        <v>163</v>
      </c>
      <c r="D238" s="5">
        <v>750000</v>
      </c>
      <c r="E238" s="5"/>
      <c r="F238" s="6">
        <f>SUM(D238:E238)</f>
        <v>750000</v>
      </c>
      <c r="G238" s="5">
        <v>750000</v>
      </c>
      <c r="H238" s="5"/>
      <c r="I238" s="6">
        <f>SUM(G238:H238)</f>
        <v>750000</v>
      </c>
    </row>
    <row r="239" spans="1:9" ht="15">
      <c r="A239" s="15">
        <v>151</v>
      </c>
      <c r="B239" s="15">
        <v>54</v>
      </c>
      <c r="C239" s="23" t="s">
        <v>164</v>
      </c>
      <c r="D239" s="5">
        <v>350000</v>
      </c>
      <c r="E239" s="5"/>
      <c r="F239" s="6">
        <f>SUM(D239:E239)</f>
        <v>350000</v>
      </c>
      <c r="G239" s="5"/>
      <c r="H239" s="5"/>
      <c r="I239" s="6">
        <f>SUM(G239:H239)</f>
        <v>0</v>
      </c>
    </row>
    <row r="240" spans="1:9" ht="15">
      <c r="A240" s="15">
        <v>152</v>
      </c>
      <c r="B240" s="15">
        <v>55</v>
      </c>
      <c r="C240" s="23" t="s">
        <v>247</v>
      </c>
      <c r="D240" s="5"/>
      <c r="E240" s="5"/>
      <c r="F240" s="6">
        <f>SUM(D240:E240)</f>
        <v>0</v>
      </c>
      <c r="G240" s="5"/>
      <c r="H240" s="5"/>
      <c r="I240" s="6">
        <f>SUM(G240:H240)</f>
        <v>0</v>
      </c>
    </row>
    <row r="241" spans="1:9" ht="15">
      <c r="A241" s="239" t="s">
        <v>5</v>
      </c>
      <c r="B241" s="239"/>
      <c r="C241" s="239"/>
      <c r="D241" s="7">
        <f>SUM(D186:D240)</f>
        <v>11400975</v>
      </c>
      <c r="E241" s="7">
        <f>SUM(E186:E237)</f>
        <v>3201200</v>
      </c>
      <c r="F241" s="7">
        <f>SUM(D241:E241)</f>
        <v>14602175</v>
      </c>
      <c r="G241" s="7">
        <f>SUM(G186:G240)</f>
        <v>5914975</v>
      </c>
      <c r="H241" s="7">
        <f>SUM(H186:H240)</f>
        <v>5011200</v>
      </c>
      <c r="I241" s="7">
        <f>SUM(G241:H241)</f>
        <v>10926175</v>
      </c>
    </row>
    <row r="242" spans="1:9" ht="15">
      <c r="A242" s="224" t="s">
        <v>171</v>
      </c>
      <c r="B242" s="225"/>
      <c r="C242" s="225"/>
      <c r="D242" s="225"/>
      <c r="E242" s="225"/>
      <c r="F242" s="225"/>
      <c r="G242" s="225"/>
      <c r="H242" s="225"/>
      <c r="I242" s="226"/>
    </row>
    <row r="243" spans="1:9" ht="15">
      <c r="A243" s="15">
        <v>153</v>
      </c>
      <c r="B243" s="15">
        <v>1</v>
      </c>
      <c r="C243" s="20" t="s">
        <v>172</v>
      </c>
      <c r="D243" s="5">
        <v>5698674</v>
      </c>
      <c r="E243" s="5">
        <v>1379500</v>
      </c>
      <c r="F243" s="6">
        <f>SUM(D243:E243)</f>
        <v>7078174</v>
      </c>
      <c r="G243" s="5">
        <v>5648674</v>
      </c>
      <c r="H243" s="5">
        <v>1349500</v>
      </c>
      <c r="I243" s="6">
        <f>SUM(G243:H243)</f>
        <v>6998174</v>
      </c>
    </row>
    <row r="244" spans="1:9" ht="15">
      <c r="A244" s="15">
        <v>154</v>
      </c>
      <c r="B244" s="79">
        <v>2</v>
      </c>
      <c r="C244" s="96" t="s">
        <v>250</v>
      </c>
      <c r="D244" s="5"/>
      <c r="E244" s="5"/>
      <c r="F244" s="6">
        <f>SUM(D244:E244)</f>
        <v>0</v>
      </c>
      <c r="G244" s="5"/>
      <c r="H244" s="5"/>
      <c r="I244" s="6">
        <f>SUM(G244:H244)</f>
        <v>0</v>
      </c>
    </row>
    <row r="245" spans="1:9" ht="15">
      <c r="A245" s="224" t="s">
        <v>42</v>
      </c>
      <c r="B245" s="225"/>
      <c r="C245" s="225"/>
      <c r="D245" s="7">
        <f>D243</f>
        <v>5698674</v>
      </c>
      <c r="E245" s="7">
        <f>E243</f>
        <v>1379500</v>
      </c>
      <c r="F245" s="7">
        <f>SUM(D245:E245)</f>
        <v>7078174</v>
      </c>
      <c r="G245" s="7">
        <f>SUM(G243:G244)</f>
        <v>5648674</v>
      </c>
      <c r="H245" s="7">
        <f>SUM(H243:H244)</f>
        <v>1349500</v>
      </c>
      <c r="I245" s="7">
        <f>SUM(G245:H245)</f>
        <v>6998174</v>
      </c>
    </row>
    <row r="246" spans="1:9" ht="15">
      <c r="A246" s="224" t="s">
        <v>173</v>
      </c>
      <c r="B246" s="225"/>
      <c r="C246" s="225"/>
      <c r="D246" s="225"/>
      <c r="E246" s="225"/>
      <c r="F246" s="225"/>
      <c r="G246" s="225"/>
      <c r="H246" s="225"/>
      <c r="I246" s="226"/>
    </row>
    <row r="247" spans="1:9" ht="15">
      <c r="A247" s="15">
        <v>155</v>
      </c>
      <c r="B247" s="15">
        <v>1</v>
      </c>
      <c r="C247" s="26" t="s">
        <v>174</v>
      </c>
      <c r="D247" s="5"/>
      <c r="E247" s="27"/>
      <c r="F247" s="6">
        <f>SUM(D247:E247)</f>
        <v>0</v>
      </c>
      <c r="G247" s="5"/>
      <c r="H247" s="27"/>
      <c r="I247" s="6">
        <f>SUM(G247:H247)</f>
        <v>0</v>
      </c>
    </row>
    <row r="248" spans="1:9" ht="15">
      <c r="A248" s="15">
        <v>156</v>
      </c>
      <c r="B248" s="15">
        <v>2</v>
      </c>
      <c r="C248" s="28" t="s">
        <v>175</v>
      </c>
      <c r="D248" s="5"/>
      <c r="E248" s="27">
        <v>1500000</v>
      </c>
      <c r="F248" s="6">
        <f>D248+E248</f>
        <v>1500000</v>
      </c>
      <c r="G248" s="5"/>
      <c r="H248" s="27"/>
      <c r="I248" s="6">
        <f>G248+H248</f>
        <v>0</v>
      </c>
    </row>
    <row r="249" spans="1:9" ht="15">
      <c r="A249" s="224" t="s">
        <v>42</v>
      </c>
      <c r="B249" s="225"/>
      <c r="C249" s="225"/>
      <c r="D249" s="7">
        <f>SUM(D247:D248)</f>
        <v>0</v>
      </c>
      <c r="E249" s="7">
        <f>SUM(E247:E248)</f>
        <v>1500000</v>
      </c>
      <c r="F249" s="7">
        <f>SUM(D249:E249)</f>
        <v>1500000</v>
      </c>
      <c r="G249" s="7">
        <f>SUM(G247:G248)</f>
        <v>0</v>
      </c>
      <c r="H249" s="7">
        <f>SUM(H247:H248)</f>
        <v>0</v>
      </c>
      <c r="I249" s="7">
        <f>SUM(G249:H249)</f>
        <v>0</v>
      </c>
    </row>
    <row r="250" spans="1:9" ht="15">
      <c r="A250" s="224" t="s">
        <v>176</v>
      </c>
      <c r="B250" s="225"/>
      <c r="C250" s="225"/>
      <c r="D250" s="225"/>
      <c r="E250" s="225"/>
      <c r="F250" s="225"/>
      <c r="G250" s="225"/>
      <c r="H250" s="225"/>
      <c r="I250" s="226"/>
    </row>
    <row r="251" spans="1:13" ht="15">
      <c r="A251" s="15">
        <v>157</v>
      </c>
      <c r="B251" s="15">
        <v>1</v>
      </c>
      <c r="C251" s="17" t="s">
        <v>177</v>
      </c>
      <c r="D251" s="5"/>
      <c r="E251" s="5"/>
      <c r="F251" s="6">
        <f>SUM(D251:E251)</f>
        <v>0</v>
      </c>
      <c r="G251" s="5"/>
      <c r="H251" s="5"/>
      <c r="I251" s="6">
        <f>SUM(G251:H251)</f>
        <v>0</v>
      </c>
      <c r="L251" s="83"/>
      <c r="M251" s="83"/>
    </row>
    <row r="252" spans="1:13" ht="15">
      <c r="A252" s="15">
        <v>158</v>
      </c>
      <c r="B252" s="15">
        <v>2</v>
      </c>
      <c r="C252" s="17" t="s">
        <v>178</v>
      </c>
      <c r="D252" s="5"/>
      <c r="E252" s="5"/>
      <c r="F252" s="6">
        <f aca="true" t="shared" si="14" ref="F252:F259">SUM(D252:E252)</f>
        <v>0</v>
      </c>
      <c r="G252" s="5"/>
      <c r="H252" s="5"/>
      <c r="I252" s="6">
        <f aca="true" t="shared" si="15" ref="I252:I259">SUM(G252:H252)</f>
        <v>0</v>
      </c>
      <c r="L252" s="16"/>
      <c r="M252" s="100"/>
    </row>
    <row r="253" spans="1:13" ht="15">
      <c r="A253" s="15">
        <v>159</v>
      </c>
      <c r="B253" s="15">
        <v>3</v>
      </c>
      <c r="C253" s="29" t="s">
        <v>179</v>
      </c>
      <c r="D253" s="5"/>
      <c r="E253" s="5"/>
      <c r="F253" s="6">
        <f t="shared" si="14"/>
        <v>0</v>
      </c>
      <c r="G253" s="5"/>
      <c r="H253" s="5"/>
      <c r="I253" s="6">
        <f t="shared" si="15"/>
        <v>0</v>
      </c>
      <c r="L253" s="16"/>
      <c r="M253" s="16"/>
    </row>
    <row r="254" spans="1:13" ht="15">
      <c r="A254" s="15">
        <v>160</v>
      </c>
      <c r="B254" s="15">
        <v>4</v>
      </c>
      <c r="C254" s="29" t="s">
        <v>254</v>
      </c>
      <c r="D254" s="5"/>
      <c r="E254" s="5"/>
      <c r="F254" s="6">
        <f t="shared" si="14"/>
        <v>0</v>
      </c>
      <c r="G254" s="5"/>
      <c r="H254" s="5"/>
      <c r="I254" s="6">
        <f t="shared" si="15"/>
        <v>0</v>
      </c>
      <c r="L254" s="16"/>
      <c r="M254" s="16"/>
    </row>
    <row r="255" spans="1:9" ht="15">
      <c r="A255" s="15">
        <v>161</v>
      </c>
      <c r="B255" s="15">
        <v>5</v>
      </c>
      <c r="C255" s="26" t="s">
        <v>220</v>
      </c>
      <c r="D255" s="5"/>
      <c r="E255" s="5">
        <v>400000</v>
      </c>
      <c r="F255" s="6">
        <f t="shared" si="14"/>
        <v>400000</v>
      </c>
      <c r="G255" s="5">
        <f>100000+200000+550000</f>
        <v>850000</v>
      </c>
      <c r="H255" s="5">
        <v>200000</v>
      </c>
      <c r="I255" s="6">
        <f t="shared" si="15"/>
        <v>1050000</v>
      </c>
    </row>
    <row r="256" spans="1:9" ht="15">
      <c r="A256" s="15">
        <v>162</v>
      </c>
      <c r="B256" s="15">
        <v>6</v>
      </c>
      <c r="C256" s="26" t="s">
        <v>221</v>
      </c>
      <c r="D256" s="5"/>
      <c r="E256" s="5"/>
      <c r="F256" s="6">
        <f t="shared" si="14"/>
        <v>0</v>
      </c>
      <c r="G256" s="5">
        <f>505000+5355000+5250000</f>
        <v>11110000</v>
      </c>
      <c r="H256" s="5">
        <f>187000+120000</f>
        <v>307000</v>
      </c>
      <c r="I256" s="6">
        <f t="shared" si="15"/>
        <v>11417000</v>
      </c>
    </row>
    <row r="257" spans="1:13" ht="15">
      <c r="A257" s="15">
        <v>163</v>
      </c>
      <c r="B257" s="15">
        <v>7</v>
      </c>
      <c r="C257" s="26" t="s">
        <v>222</v>
      </c>
      <c r="D257" s="5">
        <f>350000+70000</f>
        <v>420000</v>
      </c>
      <c r="E257" s="5"/>
      <c r="F257" s="6">
        <f t="shared" si="14"/>
        <v>420000</v>
      </c>
      <c r="G257" s="5"/>
      <c r="H257" s="5"/>
      <c r="I257" s="6">
        <f t="shared" si="15"/>
        <v>0</v>
      </c>
      <c r="K257" s="81"/>
      <c r="L257" s="82"/>
      <c r="M257" s="82"/>
    </row>
    <row r="258" spans="1:9" ht="15">
      <c r="A258" s="15">
        <v>164</v>
      </c>
      <c r="B258" s="15">
        <v>8</v>
      </c>
      <c r="C258" s="26" t="s">
        <v>223</v>
      </c>
      <c r="D258" s="5"/>
      <c r="E258" s="5"/>
      <c r="F258" s="6">
        <f t="shared" si="14"/>
        <v>0</v>
      </c>
      <c r="G258" s="5"/>
      <c r="H258" s="5">
        <v>100000</v>
      </c>
      <c r="I258" s="6">
        <f t="shared" si="15"/>
        <v>100000</v>
      </c>
    </row>
    <row r="259" spans="1:13" ht="15">
      <c r="A259" s="15">
        <v>165</v>
      </c>
      <c r="B259" s="15">
        <v>9</v>
      </c>
      <c r="C259" s="26" t="s">
        <v>256</v>
      </c>
      <c r="D259" s="5"/>
      <c r="E259" s="5"/>
      <c r="F259" s="6">
        <f t="shared" si="14"/>
        <v>0</v>
      </c>
      <c r="G259" s="5"/>
      <c r="H259" s="5"/>
      <c r="I259" s="6">
        <f t="shared" si="15"/>
        <v>0</v>
      </c>
      <c r="L259" s="83"/>
      <c r="M259" s="83"/>
    </row>
    <row r="260" spans="1:13" ht="15">
      <c r="A260" s="15">
        <v>166</v>
      </c>
      <c r="B260" s="15">
        <v>10</v>
      </c>
      <c r="C260" s="28" t="s">
        <v>186</v>
      </c>
      <c r="D260" s="5"/>
      <c r="E260" s="5"/>
      <c r="F260" s="6">
        <f>SUM(D260:E260)</f>
        <v>0</v>
      </c>
      <c r="G260" s="5"/>
      <c r="H260" s="5"/>
      <c r="I260" s="6">
        <f>SUM(G260:H260)</f>
        <v>0</v>
      </c>
      <c r="L260" s="16"/>
      <c r="M260" s="16"/>
    </row>
    <row r="261" spans="1:9" ht="15">
      <c r="A261" s="15">
        <v>167</v>
      </c>
      <c r="B261" s="15">
        <v>11</v>
      </c>
      <c r="C261" s="30" t="s">
        <v>185</v>
      </c>
      <c r="D261" s="5">
        <v>220000</v>
      </c>
      <c r="E261" s="5"/>
      <c r="F261" s="6">
        <f aca="true" t="shared" si="16" ref="F261:F274">SUM(D261:E261)</f>
        <v>220000</v>
      </c>
      <c r="G261" s="5">
        <v>220000</v>
      </c>
      <c r="H261" s="5"/>
      <c r="I261" s="6">
        <f aca="true" t="shared" si="17" ref="I261:I276">SUM(G261:H261)</f>
        <v>220000</v>
      </c>
    </row>
    <row r="262" spans="1:13" ht="15">
      <c r="A262" s="15">
        <v>168</v>
      </c>
      <c r="B262" s="15">
        <v>12</v>
      </c>
      <c r="C262" s="32" t="s">
        <v>308</v>
      </c>
      <c r="D262" s="31"/>
      <c r="E262" s="27"/>
      <c r="F262" s="6">
        <f t="shared" si="16"/>
        <v>0</v>
      </c>
      <c r="G262" s="31">
        <v>200000</v>
      </c>
      <c r="H262" s="27"/>
      <c r="I262" s="6">
        <f t="shared" si="17"/>
        <v>200000</v>
      </c>
      <c r="L262" s="16"/>
      <c r="M262" s="16"/>
    </row>
    <row r="263" spans="1:9" ht="15">
      <c r="A263" s="15">
        <v>169</v>
      </c>
      <c r="B263" s="15">
        <v>13</v>
      </c>
      <c r="C263" s="32" t="s">
        <v>309</v>
      </c>
      <c r="D263" s="31"/>
      <c r="E263" s="27"/>
      <c r="F263" s="6">
        <f t="shared" si="16"/>
        <v>0</v>
      </c>
      <c r="G263" s="31">
        <f>65000+35000</f>
        <v>100000</v>
      </c>
      <c r="H263" s="27"/>
      <c r="I263" s="6">
        <f t="shared" si="17"/>
        <v>100000</v>
      </c>
    </row>
    <row r="264" spans="1:9" ht="15">
      <c r="A264" s="15">
        <v>170</v>
      </c>
      <c r="B264" s="15">
        <v>14</v>
      </c>
      <c r="C264" s="32" t="s">
        <v>310</v>
      </c>
      <c r="D264" s="31"/>
      <c r="E264" s="27"/>
      <c r="F264" s="6">
        <f t="shared" si="16"/>
        <v>0</v>
      </c>
      <c r="G264" s="31"/>
      <c r="H264" s="27"/>
      <c r="I264" s="6">
        <f t="shared" si="17"/>
        <v>0</v>
      </c>
    </row>
    <row r="265" spans="1:9" ht="15">
      <c r="A265" s="15">
        <v>171</v>
      </c>
      <c r="B265" s="15">
        <v>15</v>
      </c>
      <c r="C265" s="32" t="s">
        <v>354</v>
      </c>
      <c r="D265" s="31"/>
      <c r="E265" s="27"/>
      <c r="F265" s="6">
        <f t="shared" si="16"/>
        <v>0</v>
      </c>
      <c r="G265" s="31">
        <v>310000</v>
      </c>
      <c r="H265" s="27"/>
      <c r="I265" s="6">
        <f t="shared" si="17"/>
        <v>310000</v>
      </c>
    </row>
    <row r="266" spans="1:9" ht="15">
      <c r="A266" s="15">
        <v>172</v>
      </c>
      <c r="B266" s="15">
        <v>16</v>
      </c>
      <c r="C266" s="32" t="s">
        <v>355</v>
      </c>
      <c r="D266" s="31">
        <v>175000</v>
      </c>
      <c r="E266" s="27"/>
      <c r="F266" s="6">
        <f t="shared" si="16"/>
        <v>175000</v>
      </c>
      <c r="G266" s="31">
        <v>175000</v>
      </c>
      <c r="H266" s="27"/>
      <c r="I266" s="6">
        <f t="shared" si="17"/>
        <v>175000</v>
      </c>
    </row>
    <row r="267" spans="1:9" ht="15">
      <c r="A267" s="15">
        <v>173</v>
      </c>
      <c r="B267" s="15">
        <v>17</v>
      </c>
      <c r="C267" s="32" t="s">
        <v>356</v>
      </c>
      <c r="D267" s="31"/>
      <c r="E267" s="27"/>
      <c r="F267" s="6">
        <f t="shared" si="16"/>
        <v>0</v>
      </c>
      <c r="G267" s="31"/>
      <c r="H267" s="27"/>
      <c r="I267" s="6">
        <f t="shared" si="17"/>
        <v>0</v>
      </c>
    </row>
    <row r="268" spans="1:9" ht="15">
      <c r="A268" s="15">
        <v>174</v>
      </c>
      <c r="B268" s="15">
        <v>18</v>
      </c>
      <c r="C268" s="32" t="s">
        <v>377</v>
      </c>
      <c r="D268" s="31">
        <v>152000</v>
      </c>
      <c r="E268" s="27"/>
      <c r="F268" s="6">
        <f t="shared" si="16"/>
        <v>152000</v>
      </c>
      <c r="G268" s="31">
        <f>152000+62000</f>
        <v>214000</v>
      </c>
      <c r="H268" s="27"/>
      <c r="I268" s="91">
        <f t="shared" si="17"/>
        <v>214000</v>
      </c>
    </row>
    <row r="269" spans="1:9" ht="15">
      <c r="A269" s="15">
        <v>175</v>
      </c>
      <c r="B269" s="15">
        <v>19</v>
      </c>
      <c r="C269" s="32" t="s">
        <v>382</v>
      </c>
      <c r="D269" s="31">
        <v>150000</v>
      </c>
      <c r="E269" s="27"/>
      <c r="F269" s="6">
        <f t="shared" si="16"/>
        <v>150000</v>
      </c>
      <c r="G269" s="31"/>
      <c r="H269" s="27"/>
      <c r="I269" s="91">
        <f t="shared" si="17"/>
        <v>0</v>
      </c>
    </row>
    <row r="270" spans="1:9" ht="15">
      <c r="A270" s="15">
        <v>176</v>
      </c>
      <c r="B270" s="15">
        <v>20</v>
      </c>
      <c r="C270" s="32" t="s">
        <v>383</v>
      </c>
      <c r="D270" s="31"/>
      <c r="E270" s="27">
        <v>300000</v>
      </c>
      <c r="F270" s="6">
        <f t="shared" si="16"/>
        <v>300000</v>
      </c>
      <c r="G270" s="31"/>
      <c r="H270" s="27"/>
      <c r="I270" s="91">
        <f t="shared" si="17"/>
        <v>0</v>
      </c>
    </row>
    <row r="271" spans="1:9" ht="15">
      <c r="A271" s="15">
        <v>177</v>
      </c>
      <c r="B271" s="15">
        <v>21</v>
      </c>
      <c r="C271" s="32" t="s">
        <v>408</v>
      </c>
      <c r="D271" s="31"/>
      <c r="E271" s="27"/>
      <c r="F271" s="6">
        <f t="shared" si="16"/>
        <v>0</v>
      </c>
      <c r="G271" s="31">
        <v>100000</v>
      </c>
      <c r="H271" s="27"/>
      <c r="I271" s="91">
        <f t="shared" si="17"/>
        <v>100000</v>
      </c>
    </row>
    <row r="272" spans="1:9" ht="15">
      <c r="A272" s="15">
        <v>178</v>
      </c>
      <c r="B272" s="15">
        <v>22</v>
      </c>
      <c r="C272" s="32" t="s">
        <v>409</v>
      </c>
      <c r="D272" s="31"/>
      <c r="E272" s="27"/>
      <c r="F272" s="6">
        <f t="shared" si="16"/>
        <v>0</v>
      </c>
      <c r="G272" s="31">
        <v>1500000</v>
      </c>
      <c r="H272" s="27"/>
      <c r="I272" s="91">
        <f t="shared" si="17"/>
        <v>1500000</v>
      </c>
    </row>
    <row r="273" spans="1:9" ht="15">
      <c r="A273" s="15">
        <v>179</v>
      </c>
      <c r="B273" s="15">
        <v>23</v>
      </c>
      <c r="C273" s="32" t="s">
        <v>410</v>
      </c>
      <c r="D273" s="31"/>
      <c r="E273" s="27"/>
      <c r="F273" s="6">
        <f t="shared" si="16"/>
        <v>0</v>
      </c>
      <c r="G273" s="31">
        <v>1500000</v>
      </c>
      <c r="H273" s="27"/>
      <c r="I273" s="91">
        <f t="shared" si="17"/>
        <v>1500000</v>
      </c>
    </row>
    <row r="274" spans="1:9" ht="15">
      <c r="A274" s="15">
        <v>180</v>
      </c>
      <c r="B274" s="15">
        <v>24</v>
      </c>
      <c r="C274" s="32" t="s">
        <v>411</v>
      </c>
      <c r="D274" s="31"/>
      <c r="E274" s="27"/>
      <c r="F274" s="6">
        <f t="shared" si="16"/>
        <v>0</v>
      </c>
      <c r="G274" s="31">
        <v>1750000</v>
      </c>
      <c r="H274" s="27"/>
      <c r="I274" s="91">
        <f t="shared" si="17"/>
        <v>1750000</v>
      </c>
    </row>
    <row r="275" spans="1:9" ht="15">
      <c r="A275" s="15">
        <v>181</v>
      </c>
      <c r="B275" s="15">
        <v>25</v>
      </c>
      <c r="C275" s="32" t="s">
        <v>412</v>
      </c>
      <c r="D275" s="31"/>
      <c r="E275" s="27"/>
      <c r="F275" s="91"/>
      <c r="G275" s="31"/>
      <c r="H275" s="27">
        <v>100000</v>
      </c>
      <c r="I275" s="91">
        <f t="shared" si="17"/>
        <v>100000</v>
      </c>
    </row>
    <row r="276" spans="1:9" ht="15">
      <c r="A276" s="15">
        <v>182</v>
      </c>
      <c r="B276" s="15">
        <v>26</v>
      </c>
      <c r="C276" s="32" t="s">
        <v>413</v>
      </c>
      <c r="D276" s="31"/>
      <c r="E276" s="27"/>
      <c r="F276" s="91"/>
      <c r="G276" s="31">
        <f>76000*4</f>
        <v>304000</v>
      </c>
      <c r="H276" s="27"/>
      <c r="I276" s="91">
        <f t="shared" si="17"/>
        <v>304000</v>
      </c>
    </row>
    <row r="277" spans="1:9" ht="15.75" thickBot="1">
      <c r="A277" s="253" t="s">
        <v>42</v>
      </c>
      <c r="B277" s="254"/>
      <c r="C277" s="255"/>
      <c r="D277" s="33">
        <f>SUM(D251:D274)</f>
        <v>1117000</v>
      </c>
      <c r="E277" s="33">
        <f>SUM(E251:E274)</f>
        <v>700000</v>
      </c>
      <c r="F277" s="33">
        <f>SUM(D277:E277)</f>
        <v>1817000</v>
      </c>
      <c r="G277" s="33">
        <f>SUM(G251:G276)</f>
        <v>18333000</v>
      </c>
      <c r="H277" s="33">
        <f>SUM(H252:H276)</f>
        <v>707000</v>
      </c>
      <c r="I277" s="33">
        <f>SUM(G277:H277)</f>
        <v>19040000</v>
      </c>
    </row>
    <row r="278" spans="1:9" ht="16.5" thickBot="1" thickTop="1">
      <c r="A278" s="237" t="s">
        <v>190</v>
      </c>
      <c r="B278" s="238"/>
      <c r="C278" s="238"/>
      <c r="D278" s="34">
        <f>D277+D249+D245+D241+D184+D159+D137+D115+D112+D109+D86+D76+D73</f>
        <v>133524566</v>
      </c>
      <c r="E278" s="34">
        <f>E277+E249+E245+E241+E184+E159+E137+E115+E112+E109+E86+E76+E73</f>
        <v>45449767</v>
      </c>
      <c r="F278" s="34">
        <f>SUM(D278:E278)</f>
        <v>178974333</v>
      </c>
      <c r="G278" s="34">
        <f>G277+G249+G245+G241+G184+G159+G137+G115+G112+G109+G86+G76+G73</f>
        <v>102341507</v>
      </c>
      <c r="H278" s="34">
        <f>H277+H249+H245+H241+H184+H159+H137+H115+H112+H109+H86+H76+H73</f>
        <v>44114623</v>
      </c>
      <c r="I278" s="34">
        <f>SUM(G278:H278)</f>
        <v>146456130</v>
      </c>
    </row>
    <row r="279" spans="1:10" ht="15.75" thickTop="1">
      <c r="A279" s="35"/>
      <c r="B279" s="35"/>
      <c r="C279" s="35"/>
      <c r="D279" s="36"/>
      <c r="E279" s="36"/>
      <c r="F279" s="36"/>
      <c r="G279" s="36"/>
      <c r="H279" s="36"/>
      <c r="I279" s="36"/>
      <c r="J279" s="37"/>
    </row>
    <row r="280" spans="1:8" ht="15">
      <c r="A280" s="39"/>
      <c r="B280" s="39"/>
      <c r="C280" s="39"/>
      <c r="D280" s="38"/>
      <c r="E280" s="38"/>
      <c r="G280" s="38" t="s">
        <v>407</v>
      </c>
      <c r="H280" s="38"/>
    </row>
    <row r="281" spans="1:8" ht="15">
      <c r="A281" s="39"/>
      <c r="B281" s="39"/>
      <c r="C281" s="38" t="s">
        <v>199</v>
      </c>
      <c r="D281" s="38"/>
      <c r="E281" s="38"/>
      <c r="G281" s="240" t="s">
        <v>349</v>
      </c>
      <c r="H281" s="240"/>
    </row>
    <row r="282" spans="1:8" ht="15">
      <c r="A282" s="39"/>
      <c r="B282" s="39"/>
      <c r="C282" s="39"/>
      <c r="D282" s="39"/>
      <c r="E282" s="39"/>
      <c r="G282" s="39"/>
      <c r="H282" s="39"/>
    </row>
    <row r="283" spans="1:8" ht="15">
      <c r="A283" s="39"/>
      <c r="B283" s="61"/>
      <c r="C283" s="272" t="s">
        <v>866</v>
      </c>
      <c r="D283" s="39"/>
      <c r="E283" s="39"/>
      <c r="G283" s="270" t="s">
        <v>866</v>
      </c>
      <c r="H283" s="39"/>
    </row>
    <row r="284" spans="1:9" ht="15">
      <c r="A284" s="39"/>
      <c r="B284" s="61"/>
      <c r="C284" s="38" t="s">
        <v>269</v>
      </c>
      <c r="D284" s="62"/>
      <c r="E284" s="62"/>
      <c r="F284" s="240" t="s">
        <v>350</v>
      </c>
      <c r="G284" s="240"/>
      <c r="H284" s="240"/>
      <c r="I284" s="240"/>
    </row>
    <row r="285" spans="1:12" ht="15">
      <c r="A285" s="35"/>
      <c r="B285" s="35"/>
      <c r="C285" s="35"/>
      <c r="D285" s="36"/>
      <c r="E285" s="36"/>
      <c r="F285" s="36"/>
      <c r="G285" s="36"/>
      <c r="H285" s="36"/>
      <c r="I285" s="36"/>
      <c r="J285" s="37"/>
      <c r="L285" s="16"/>
    </row>
    <row r="286" spans="1:9" ht="15">
      <c r="A286" s="240" t="s">
        <v>191</v>
      </c>
      <c r="B286" s="240"/>
      <c r="C286" s="240"/>
      <c r="D286" s="240"/>
      <c r="E286" s="240"/>
      <c r="F286" s="240"/>
      <c r="G286" s="240"/>
      <c r="H286" s="240"/>
      <c r="I286" s="240"/>
    </row>
    <row r="287" spans="1:9" ht="15">
      <c r="A287" s="240" t="s">
        <v>425</v>
      </c>
      <c r="B287" s="240"/>
      <c r="C287" s="240"/>
      <c r="D287" s="240"/>
      <c r="E287" s="240"/>
      <c r="F287" s="240"/>
      <c r="G287" s="240"/>
      <c r="H287" s="240"/>
      <c r="I287" s="240"/>
    </row>
    <row r="288" spans="1:9" ht="15">
      <c r="A288" s="38" t="s">
        <v>192</v>
      </c>
      <c r="B288" s="72" t="s">
        <v>195</v>
      </c>
      <c r="C288" s="38"/>
      <c r="D288" s="38"/>
      <c r="E288" s="38"/>
      <c r="F288" s="38"/>
      <c r="G288" s="38"/>
      <c r="H288" s="38"/>
      <c r="I288" s="38"/>
    </row>
    <row r="289" spans="1:9" ht="15">
      <c r="A289" s="40"/>
      <c r="B289" s="243" t="s">
        <v>2</v>
      </c>
      <c r="C289" s="247" t="s">
        <v>193</v>
      </c>
      <c r="D289" s="248"/>
      <c r="E289" s="248"/>
      <c r="F289" s="248"/>
      <c r="G289" s="248"/>
      <c r="H289" s="249"/>
      <c r="I289" s="85" t="s">
        <v>42</v>
      </c>
    </row>
    <row r="290" spans="1:9" ht="15">
      <c r="A290" s="39"/>
      <c r="B290" s="244"/>
      <c r="C290" s="250"/>
      <c r="D290" s="251"/>
      <c r="E290" s="251"/>
      <c r="F290" s="251"/>
      <c r="G290" s="251"/>
      <c r="H290" s="252"/>
      <c r="I290" s="84" t="s">
        <v>194</v>
      </c>
    </row>
    <row r="291" spans="1:9" ht="15">
      <c r="A291" s="39"/>
      <c r="B291" s="70">
        <v>1</v>
      </c>
      <c r="C291" s="45" t="s">
        <v>339</v>
      </c>
      <c r="D291" s="60"/>
      <c r="E291" s="60"/>
      <c r="F291" s="69"/>
      <c r="G291" s="60"/>
      <c r="H291" s="60"/>
      <c r="I291" s="59"/>
    </row>
    <row r="292" spans="1:9" ht="15">
      <c r="A292" s="39"/>
      <c r="B292" s="70"/>
      <c r="C292" s="45" t="s">
        <v>501</v>
      </c>
      <c r="D292" s="60"/>
      <c r="E292" s="60"/>
      <c r="F292" s="69"/>
      <c r="G292" s="60"/>
      <c r="H292" s="60"/>
      <c r="I292" s="59">
        <v>6565900</v>
      </c>
    </row>
    <row r="293" spans="1:9" ht="15">
      <c r="A293" s="39"/>
      <c r="B293" s="70">
        <v>2</v>
      </c>
      <c r="C293" s="45" t="s">
        <v>429</v>
      </c>
      <c r="D293" s="60"/>
      <c r="E293" s="60"/>
      <c r="F293" s="69"/>
      <c r="G293" s="60"/>
      <c r="H293" s="60"/>
      <c r="I293" s="59"/>
    </row>
    <row r="294" spans="1:9" ht="15">
      <c r="A294" s="39"/>
      <c r="B294" s="70"/>
      <c r="C294" s="45" t="s">
        <v>430</v>
      </c>
      <c r="D294" s="60"/>
      <c r="E294" s="60"/>
      <c r="F294" s="69"/>
      <c r="G294" s="60"/>
      <c r="H294" s="60"/>
      <c r="I294" s="59">
        <v>5000000</v>
      </c>
    </row>
    <row r="295" spans="1:10" ht="15">
      <c r="A295" s="39"/>
      <c r="B295" s="70">
        <v>3</v>
      </c>
      <c r="C295" s="103" t="s">
        <v>279</v>
      </c>
      <c r="D295" s="60"/>
      <c r="E295" s="60"/>
      <c r="F295" s="69"/>
      <c r="G295" s="60"/>
      <c r="H295" s="60"/>
      <c r="I295" s="59"/>
      <c r="J295" s="88"/>
    </row>
    <row r="296" spans="1:9" ht="15">
      <c r="A296" s="39"/>
      <c r="B296" s="70"/>
      <c r="C296" s="103" t="s">
        <v>436</v>
      </c>
      <c r="D296" s="60"/>
      <c r="E296" s="60"/>
      <c r="F296" s="69"/>
      <c r="G296" s="60"/>
      <c r="H296" s="60"/>
      <c r="I296" s="59">
        <v>1000000</v>
      </c>
    </row>
    <row r="297" spans="1:9" ht="15">
      <c r="A297" s="39"/>
      <c r="B297" s="70">
        <v>4</v>
      </c>
      <c r="C297" s="45" t="s">
        <v>389</v>
      </c>
      <c r="D297" s="60"/>
      <c r="E297" s="60"/>
      <c r="F297" s="69"/>
      <c r="G297" s="60"/>
      <c r="H297" s="60"/>
      <c r="I297" s="59"/>
    </row>
    <row r="298" spans="1:9" ht="15">
      <c r="A298" s="39"/>
      <c r="B298" s="70"/>
      <c r="C298" s="45" t="s">
        <v>438</v>
      </c>
      <c r="D298" s="60"/>
      <c r="E298" s="60"/>
      <c r="F298" s="69"/>
      <c r="G298" s="60"/>
      <c r="H298" s="60"/>
      <c r="I298" s="99">
        <v>144000000</v>
      </c>
    </row>
    <row r="299" spans="1:9" ht="15">
      <c r="A299" s="39"/>
      <c r="B299" s="41">
        <v>5</v>
      </c>
      <c r="C299" s="45" t="s">
        <v>876</v>
      </c>
      <c r="D299" s="42"/>
      <c r="E299" s="42"/>
      <c r="F299" s="63"/>
      <c r="G299" s="42"/>
      <c r="H299" s="42"/>
      <c r="I299" s="54"/>
    </row>
    <row r="300" spans="1:9" ht="15">
      <c r="A300" s="39"/>
      <c r="B300" s="41"/>
      <c r="C300" s="45" t="s">
        <v>439</v>
      </c>
      <c r="D300" s="42"/>
      <c r="E300" s="42"/>
      <c r="F300" s="63"/>
      <c r="G300" s="42"/>
      <c r="H300" s="42"/>
      <c r="I300" s="92">
        <v>156000000</v>
      </c>
    </row>
    <row r="301" spans="1:9" ht="15">
      <c r="A301" s="39"/>
      <c r="B301" s="41"/>
      <c r="C301" s="45" t="s">
        <v>440</v>
      </c>
      <c r="D301" s="42"/>
      <c r="E301" s="42"/>
      <c r="F301" s="63"/>
      <c r="G301" s="42"/>
      <c r="H301" s="42"/>
      <c r="I301" s="92">
        <v>3600000</v>
      </c>
    </row>
    <row r="302" spans="1:9" ht="15">
      <c r="A302" s="39"/>
      <c r="B302" s="41"/>
      <c r="C302" s="45" t="s">
        <v>441</v>
      </c>
      <c r="D302" s="42"/>
      <c r="E302" s="42"/>
      <c r="F302" s="63"/>
      <c r="G302" s="42"/>
      <c r="H302" s="42"/>
      <c r="I302" s="92">
        <v>1200000</v>
      </c>
    </row>
    <row r="303" spans="1:9" ht="15">
      <c r="A303" s="39"/>
      <c r="B303" s="41"/>
      <c r="C303" s="45" t="s">
        <v>442</v>
      </c>
      <c r="D303" s="42"/>
      <c r="E303" s="42"/>
      <c r="F303" s="63"/>
      <c r="G303" s="42"/>
      <c r="H303" s="42"/>
      <c r="I303" s="92">
        <v>6000000</v>
      </c>
    </row>
    <row r="304" spans="1:9" ht="15">
      <c r="A304" s="39"/>
      <c r="B304" s="41"/>
      <c r="C304" s="45" t="s">
        <v>443</v>
      </c>
      <c r="D304" s="42"/>
      <c r="E304" s="42"/>
      <c r="F304" s="63"/>
      <c r="G304" s="42"/>
      <c r="H304" s="42"/>
      <c r="I304" s="92">
        <v>2865000</v>
      </c>
    </row>
    <row r="305" spans="1:9" ht="15">
      <c r="A305" s="39"/>
      <c r="B305" s="41"/>
      <c r="C305" s="45" t="s">
        <v>444</v>
      </c>
      <c r="D305" s="42"/>
      <c r="E305" s="42"/>
      <c r="F305" s="63"/>
      <c r="G305" s="42"/>
      <c r="H305" s="42"/>
      <c r="I305" s="92">
        <v>2400000</v>
      </c>
    </row>
    <row r="306" spans="1:9" ht="15">
      <c r="A306" s="39"/>
      <c r="B306" s="41"/>
      <c r="C306" s="45" t="s">
        <v>445</v>
      </c>
      <c r="D306" s="42"/>
      <c r="E306" s="42"/>
      <c r="F306" s="63"/>
      <c r="G306" s="42"/>
      <c r="H306" s="42"/>
      <c r="I306" s="92">
        <v>4500000</v>
      </c>
    </row>
    <row r="307" spans="1:9" ht="15">
      <c r="A307" s="39"/>
      <c r="B307" s="41"/>
      <c r="C307" s="45" t="s">
        <v>446</v>
      </c>
      <c r="D307" s="42"/>
      <c r="E307" s="42"/>
      <c r="F307" s="63"/>
      <c r="G307" s="42"/>
      <c r="H307" s="42"/>
      <c r="I307" s="92">
        <v>2520000</v>
      </c>
    </row>
    <row r="308" spans="1:9" ht="15">
      <c r="A308" s="39"/>
      <c r="B308" s="41"/>
      <c r="C308" s="45" t="s">
        <v>447</v>
      </c>
      <c r="D308" s="42"/>
      <c r="E308" s="42"/>
      <c r="F308" s="63"/>
      <c r="G308" s="42"/>
      <c r="H308" s="42"/>
      <c r="I308" s="92">
        <v>3657000</v>
      </c>
    </row>
    <row r="309" spans="1:9" ht="15">
      <c r="A309" s="39"/>
      <c r="B309" s="41"/>
      <c r="C309" s="45" t="s">
        <v>448</v>
      </c>
      <c r="D309" s="42"/>
      <c r="E309" s="42"/>
      <c r="F309" s="63"/>
      <c r="G309" s="42"/>
      <c r="H309" s="42"/>
      <c r="I309" s="92">
        <v>950000</v>
      </c>
    </row>
    <row r="310" spans="1:9" ht="15">
      <c r="A310" s="39"/>
      <c r="B310" s="41">
        <v>6</v>
      </c>
      <c r="C310" s="45" t="s">
        <v>449</v>
      </c>
      <c r="D310" s="42"/>
      <c r="E310" s="42"/>
      <c r="F310" s="63"/>
      <c r="G310" s="42"/>
      <c r="H310" s="42"/>
      <c r="I310" s="92">
        <v>20000000</v>
      </c>
    </row>
    <row r="311" spans="1:9" ht="15">
      <c r="A311" s="39"/>
      <c r="B311" s="41">
        <v>7</v>
      </c>
      <c r="C311" s="45" t="s">
        <v>450</v>
      </c>
      <c r="D311" s="42"/>
      <c r="E311" s="42"/>
      <c r="F311" s="63"/>
      <c r="G311" s="42"/>
      <c r="H311" s="42"/>
      <c r="I311" s="92">
        <v>10000000</v>
      </c>
    </row>
    <row r="312" spans="1:10" ht="15">
      <c r="A312" s="39"/>
      <c r="B312" s="41">
        <v>8</v>
      </c>
      <c r="C312" s="45" t="s">
        <v>451</v>
      </c>
      <c r="D312" s="42"/>
      <c r="E312" s="42"/>
      <c r="F312" s="63"/>
      <c r="G312" s="42"/>
      <c r="H312" s="42"/>
      <c r="I312" s="92">
        <f>70798867-1258695-169550-236350-167530-265290</f>
        <v>68701452</v>
      </c>
      <c r="J312" s="88"/>
    </row>
    <row r="313" spans="1:10" ht="15">
      <c r="A313" s="39"/>
      <c r="B313" s="41">
        <v>9</v>
      </c>
      <c r="C313" s="45" t="s">
        <v>452</v>
      </c>
      <c r="D313" s="42"/>
      <c r="E313" s="42"/>
      <c r="F313" s="63"/>
      <c r="G313" s="42"/>
      <c r="H313" s="42"/>
      <c r="I313" s="92">
        <v>21700000</v>
      </c>
      <c r="J313" s="88"/>
    </row>
    <row r="314" spans="1:9" ht="15">
      <c r="A314" s="39"/>
      <c r="B314" s="41">
        <v>10</v>
      </c>
      <c r="C314" s="45" t="s">
        <v>455</v>
      </c>
      <c r="D314" s="42"/>
      <c r="E314" s="42"/>
      <c r="F314" s="63"/>
      <c r="G314" s="42"/>
      <c r="H314" s="42"/>
      <c r="I314" s="54">
        <v>6000000</v>
      </c>
    </row>
    <row r="315" spans="1:9" ht="15">
      <c r="A315" s="39"/>
      <c r="B315" s="41">
        <v>11</v>
      </c>
      <c r="C315" s="45" t="s">
        <v>456</v>
      </c>
      <c r="D315" s="42"/>
      <c r="E315" s="42"/>
      <c r="F315" s="63"/>
      <c r="G315" s="42"/>
      <c r="H315" s="42"/>
      <c r="I315" s="54">
        <v>3000000</v>
      </c>
    </row>
    <row r="316" spans="1:9" ht="15">
      <c r="A316" s="39"/>
      <c r="B316" s="41">
        <v>12</v>
      </c>
      <c r="C316" s="45" t="s">
        <v>457</v>
      </c>
      <c r="D316" s="42"/>
      <c r="E316" s="42"/>
      <c r="F316" s="63"/>
      <c r="G316" s="42"/>
      <c r="H316" s="42"/>
      <c r="I316" s="54">
        <v>1000000</v>
      </c>
    </row>
    <row r="317" spans="1:9" ht="15">
      <c r="A317" s="39"/>
      <c r="B317" s="41">
        <v>13</v>
      </c>
      <c r="C317" s="55" t="s">
        <v>360</v>
      </c>
      <c r="D317" s="52"/>
      <c r="E317" s="52"/>
      <c r="F317" s="63"/>
      <c r="G317" s="52"/>
      <c r="H317" s="53"/>
      <c r="I317" s="92">
        <v>135000</v>
      </c>
    </row>
    <row r="318" spans="1:10" ht="15">
      <c r="A318" s="56"/>
      <c r="B318" s="241" t="s">
        <v>5</v>
      </c>
      <c r="C318" s="245"/>
      <c r="D318" s="245"/>
      <c r="E318" s="245"/>
      <c r="F318" s="66"/>
      <c r="G318" s="66"/>
      <c r="H318" s="67"/>
      <c r="I318" s="57">
        <f>SUM(I291:I317)</f>
        <v>470794352</v>
      </c>
      <c r="J318" s="104"/>
    </row>
    <row r="319" spans="1:9" ht="15">
      <c r="A319" s="58"/>
      <c r="B319" s="58"/>
      <c r="C319" s="58"/>
      <c r="D319" s="58"/>
      <c r="E319" s="58"/>
      <c r="F319" s="58"/>
      <c r="G319" s="73"/>
      <c r="H319" s="73"/>
      <c r="I319" s="58"/>
    </row>
    <row r="320" spans="1:9" ht="15">
      <c r="A320" s="74" t="s">
        <v>196</v>
      </c>
      <c r="B320" s="75" t="s">
        <v>197</v>
      </c>
      <c r="C320" s="75"/>
      <c r="D320" s="58"/>
      <c r="E320" s="58"/>
      <c r="F320" s="58"/>
      <c r="G320" s="58"/>
      <c r="H320" s="58"/>
      <c r="I320" s="58"/>
    </row>
    <row r="321" spans="1:9" ht="15">
      <c r="A321" s="40"/>
      <c r="B321" s="243" t="s">
        <v>2</v>
      </c>
      <c r="C321" s="248" t="s">
        <v>193</v>
      </c>
      <c r="D321" s="248"/>
      <c r="E321" s="248"/>
      <c r="F321" s="248"/>
      <c r="G321" s="248"/>
      <c r="H321" s="249"/>
      <c r="I321" s="85" t="s">
        <v>42</v>
      </c>
    </row>
    <row r="322" spans="1:9" ht="15">
      <c r="A322" s="58"/>
      <c r="B322" s="244"/>
      <c r="C322" s="251"/>
      <c r="D322" s="251"/>
      <c r="E322" s="251"/>
      <c r="F322" s="251"/>
      <c r="G322" s="251"/>
      <c r="H322" s="252"/>
      <c r="I322" s="84" t="s">
        <v>194</v>
      </c>
    </row>
    <row r="323" spans="1:9" ht="15">
      <c r="A323" s="58"/>
      <c r="B323" s="70">
        <v>1</v>
      </c>
      <c r="C323" s="45" t="s">
        <v>339</v>
      </c>
      <c r="D323" s="42"/>
      <c r="E323" s="42"/>
      <c r="F323" s="69"/>
      <c r="G323" s="42"/>
      <c r="H323" s="42"/>
      <c r="I323" s="59"/>
    </row>
    <row r="324" spans="1:10" ht="15">
      <c r="A324" s="58"/>
      <c r="B324" s="70"/>
      <c r="C324" s="45" t="s">
        <v>461</v>
      </c>
      <c r="D324" s="42"/>
      <c r="E324" s="42"/>
      <c r="F324" s="69"/>
      <c r="G324" s="42"/>
      <c r="H324" s="42"/>
      <c r="I324" s="102">
        <v>1533459</v>
      </c>
      <c r="J324" s="88"/>
    </row>
    <row r="325" spans="1:10" ht="15">
      <c r="A325" s="58"/>
      <c r="B325" s="70"/>
      <c r="C325" s="45" t="s">
        <v>362</v>
      </c>
      <c r="D325" s="42"/>
      <c r="E325" s="42"/>
      <c r="F325" s="69"/>
      <c r="G325" s="42"/>
      <c r="H325" s="42"/>
      <c r="I325" s="99">
        <v>406800</v>
      </c>
      <c r="J325" s="88"/>
    </row>
    <row r="326" spans="1:10" ht="15">
      <c r="A326" s="58"/>
      <c r="B326" s="70"/>
      <c r="C326" s="45" t="s">
        <v>435</v>
      </c>
      <c r="D326" s="42"/>
      <c r="E326" s="42"/>
      <c r="F326" s="69"/>
      <c r="G326" s="42"/>
      <c r="H326" s="42"/>
      <c r="I326" s="99">
        <v>5996800</v>
      </c>
      <c r="J326" s="88"/>
    </row>
    <row r="327" spans="1:9" ht="15">
      <c r="A327" s="58"/>
      <c r="B327" s="70">
        <v>2</v>
      </c>
      <c r="C327" s="45" t="s">
        <v>395</v>
      </c>
      <c r="D327" s="60"/>
      <c r="E327" s="60"/>
      <c r="F327" s="69"/>
      <c r="G327" s="60"/>
      <c r="H327" s="60"/>
      <c r="I327" s="99"/>
    </row>
    <row r="328" spans="1:9" ht="15">
      <c r="A328" s="58"/>
      <c r="B328" s="70"/>
      <c r="C328" s="45" t="s">
        <v>426</v>
      </c>
      <c r="D328" s="60"/>
      <c r="E328" s="60"/>
      <c r="F328" s="69"/>
      <c r="G328" s="60"/>
      <c r="H328" s="60"/>
      <c r="I328" s="99">
        <v>3060000</v>
      </c>
    </row>
    <row r="329" spans="1:9" ht="15">
      <c r="A329" s="58"/>
      <c r="B329" s="70"/>
      <c r="C329" s="45" t="s">
        <v>517</v>
      </c>
      <c r="D329" s="60"/>
      <c r="E329" s="60"/>
      <c r="F329" s="69"/>
      <c r="G329" s="60"/>
      <c r="H329" s="60"/>
      <c r="I329" s="99">
        <v>6000000</v>
      </c>
    </row>
    <row r="330" spans="1:9" ht="15">
      <c r="A330" s="58"/>
      <c r="B330" s="70"/>
      <c r="C330" s="45" t="s">
        <v>518</v>
      </c>
      <c r="D330" s="60"/>
      <c r="E330" s="60"/>
      <c r="F330" s="69"/>
      <c r="G330" s="60"/>
      <c r="H330" s="60"/>
      <c r="I330" s="99">
        <v>2000000</v>
      </c>
    </row>
    <row r="331" spans="1:9" ht="15">
      <c r="A331" s="58"/>
      <c r="B331" s="70">
        <v>3</v>
      </c>
      <c r="C331" s="45" t="s">
        <v>427</v>
      </c>
      <c r="D331" s="60"/>
      <c r="E331" s="60"/>
      <c r="F331" s="69"/>
      <c r="G331" s="60"/>
      <c r="H331" s="60"/>
      <c r="I331" s="99">
        <v>15000000</v>
      </c>
    </row>
    <row r="332" spans="1:13" ht="15">
      <c r="A332" s="58"/>
      <c r="B332" s="70">
        <v>4</v>
      </c>
      <c r="C332" s="45" t="s">
        <v>428</v>
      </c>
      <c r="D332" s="60"/>
      <c r="E332" s="60"/>
      <c r="F332" s="69"/>
      <c r="G332" s="60"/>
      <c r="H332" s="60"/>
      <c r="I332" s="99"/>
      <c r="M332" s="88"/>
    </row>
    <row r="333" spans="1:10" ht="15">
      <c r="A333" s="58"/>
      <c r="B333" s="70"/>
      <c r="C333" s="45" t="s">
        <v>432</v>
      </c>
      <c r="D333" s="60"/>
      <c r="E333" s="60"/>
      <c r="F333" s="69"/>
      <c r="G333" s="60"/>
      <c r="H333" s="60"/>
      <c r="I333" s="99">
        <v>2167000</v>
      </c>
      <c r="J333" s="88"/>
    </row>
    <row r="334" spans="1:9" ht="15">
      <c r="A334" s="58"/>
      <c r="B334" s="70"/>
      <c r="C334" s="45" t="s">
        <v>433</v>
      </c>
      <c r="D334" s="60"/>
      <c r="E334" s="60"/>
      <c r="F334" s="69"/>
      <c r="G334" s="60"/>
      <c r="H334" s="60"/>
      <c r="I334" s="99">
        <v>75000</v>
      </c>
    </row>
    <row r="335" spans="1:9" ht="15">
      <c r="A335" s="58"/>
      <c r="B335" s="70"/>
      <c r="C335" s="45" t="s">
        <v>434</v>
      </c>
      <c r="D335" s="60"/>
      <c r="E335" s="60"/>
      <c r="F335" s="69"/>
      <c r="G335" s="60"/>
      <c r="H335" s="60"/>
      <c r="I335" s="99">
        <v>1590000</v>
      </c>
    </row>
    <row r="336" spans="1:10" ht="15">
      <c r="A336" s="58"/>
      <c r="B336" s="70"/>
      <c r="C336" s="45" t="s">
        <v>454</v>
      </c>
      <c r="D336" s="60"/>
      <c r="E336" s="60"/>
      <c r="F336" s="69"/>
      <c r="G336" s="60"/>
      <c r="H336" s="60"/>
      <c r="I336" s="99">
        <f>800000+100000+250000+150000+113000+120000</f>
        <v>1533000</v>
      </c>
      <c r="J336" s="88"/>
    </row>
    <row r="337" spans="1:10" ht="15">
      <c r="A337" s="58"/>
      <c r="B337" s="70"/>
      <c r="C337" s="45" t="s">
        <v>458</v>
      </c>
      <c r="D337" s="60"/>
      <c r="E337" s="60"/>
      <c r="F337" s="69"/>
      <c r="G337" s="60"/>
      <c r="H337" s="60"/>
      <c r="I337" s="99">
        <v>5374000</v>
      </c>
      <c r="J337" s="88"/>
    </row>
    <row r="338" spans="1:9" ht="15">
      <c r="A338" s="58"/>
      <c r="B338" s="70"/>
      <c r="C338" s="45" t="s">
        <v>459</v>
      </c>
      <c r="D338" s="60"/>
      <c r="E338" s="60"/>
      <c r="F338" s="69"/>
      <c r="G338" s="60"/>
      <c r="H338" s="60"/>
      <c r="I338" s="99">
        <v>770000</v>
      </c>
    </row>
    <row r="339" spans="1:9" ht="15">
      <c r="A339" s="58"/>
      <c r="B339" s="70"/>
      <c r="C339" s="45" t="s">
        <v>460</v>
      </c>
      <c r="D339" s="60"/>
      <c r="E339" s="60"/>
      <c r="F339" s="69"/>
      <c r="G339" s="60"/>
      <c r="H339" s="60"/>
      <c r="I339" s="99">
        <v>425000</v>
      </c>
    </row>
    <row r="340" spans="1:10" ht="15">
      <c r="A340" s="58"/>
      <c r="B340" s="70">
        <v>5</v>
      </c>
      <c r="C340" s="45" t="s">
        <v>390</v>
      </c>
      <c r="D340" s="60"/>
      <c r="E340" s="60"/>
      <c r="F340" s="69"/>
      <c r="G340" s="60"/>
      <c r="H340" s="60"/>
      <c r="I340" s="99"/>
      <c r="J340" s="88"/>
    </row>
    <row r="341" spans="1:10" ht="15">
      <c r="A341" s="58"/>
      <c r="B341" s="70"/>
      <c r="C341" s="45" t="s">
        <v>431</v>
      </c>
      <c r="D341" s="60"/>
      <c r="E341" s="60"/>
      <c r="F341" s="69"/>
      <c r="G341" s="60"/>
      <c r="H341" s="60"/>
      <c r="I341" s="99">
        <v>1000000</v>
      </c>
      <c r="J341" s="88"/>
    </row>
    <row r="342" spans="1:10" ht="15">
      <c r="A342" s="58"/>
      <c r="B342" s="70"/>
      <c r="C342" s="45" t="s">
        <v>437</v>
      </c>
      <c r="D342" s="60"/>
      <c r="E342" s="60"/>
      <c r="F342" s="69"/>
      <c r="G342" s="60"/>
      <c r="H342" s="60"/>
      <c r="I342" s="99">
        <v>500000</v>
      </c>
      <c r="J342" s="88"/>
    </row>
    <row r="343" spans="1:11" ht="15">
      <c r="A343" s="58"/>
      <c r="B343" s="70">
        <v>6</v>
      </c>
      <c r="C343" s="45" t="s">
        <v>453</v>
      </c>
      <c r="D343" s="42"/>
      <c r="E343" s="42"/>
      <c r="F343" s="63"/>
      <c r="G343" s="42"/>
      <c r="H343" s="42"/>
      <c r="I343" s="92">
        <f>26902589-88880-111250-930100-189000-53000-61905-58000-203325-160000-112500</f>
        <v>24934629</v>
      </c>
      <c r="J343" s="88"/>
      <c r="K343" s="88"/>
    </row>
    <row r="344" spans="1:10" ht="15">
      <c r="A344" s="58"/>
      <c r="B344" s="70">
        <v>7</v>
      </c>
      <c r="C344" s="45" t="s">
        <v>877</v>
      </c>
      <c r="D344" s="42"/>
      <c r="E344" s="42"/>
      <c r="F344" s="63"/>
      <c r="G344" s="42"/>
      <c r="H344" s="42"/>
      <c r="I344" s="54">
        <v>9975000</v>
      </c>
      <c r="J344" s="88"/>
    </row>
    <row r="345" spans="1:9" ht="15">
      <c r="A345" s="58"/>
      <c r="B345" s="70">
        <v>8</v>
      </c>
      <c r="C345" s="89" t="s">
        <v>232</v>
      </c>
      <c r="D345" s="60"/>
      <c r="E345" s="60"/>
      <c r="F345" s="69"/>
      <c r="G345" s="60"/>
      <c r="H345" s="60"/>
      <c r="I345" s="99">
        <f>230000-200000</f>
        <v>30000</v>
      </c>
    </row>
    <row r="346" spans="1:10" ht="15">
      <c r="A346" s="56"/>
      <c r="B346" s="241" t="s">
        <v>5</v>
      </c>
      <c r="C346" s="245"/>
      <c r="D346" s="245"/>
      <c r="E346" s="245"/>
      <c r="F346" s="65"/>
      <c r="G346" s="65"/>
      <c r="H346" s="71"/>
      <c r="I346" s="57">
        <f>SUM(I323:I345)</f>
        <v>82370688</v>
      </c>
      <c r="J346" s="105"/>
    </row>
    <row r="347" spans="1:10" ht="15">
      <c r="A347" s="39"/>
      <c r="B347" s="39"/>
      <c r="C347" s="39"/>
      <c r="D347" s="39"/>
      <c r="E347" s="39"/>
      <c r="F347" s="39" t="s">
        <v>198</v>
      </c>
      <c r="G347" s="39"/>
      <c r="H347" s="39"/>
      <c r="I347" s="39" t="s">
        <v>198</v>
      </c>
      <c r="J347" s="105"/>
    </row>
    <row r="348" spans="1:8" ht="15">
      <c r="A348" s="39"/>
      <c r="B348" s="39"/>
      <c r="C348" s="39"/>
      <c r="D348" s="38"/>
      <c r="E348" s="38"/>
      <c r="G348" s="38" t="s">
        <v>407</v>
      </c>
      <c r="H348" s="38"/>
    </row>
    <row r="349" spans="1:8" ht="15">
      <c r="A349" s="39"/>
      <c r="B349" s="39"/>
      <c r="C349" s="38" t="s">
        <v>199</v>
      </c>
      <c r="D349" s="38"/>
      <c r="E349" s="38"/>
      <c r="G349" s="240" t="s">
        <v>696</v>
      </c>
      <c r="H349" s="240"/>
    </row>
    <row r="350" spans="1:8" ht="15">
      <c r="A350" s="39"/>
      <c r="B350" s="39"/>
      <c r="C350" s="39"/>
      <c r="D350" s="39"/>
      <c r="E350" s="39"/>
      <c r="G350" s="39"/>
      <c r="H350" s="39"/>
    </row>
    <row r="351" spans="1:8" ht="15">
      <c r="A351" s="39"/>
      <c r="B351" s="61"/>
      <c r="C351" s="272" t="s">
        <v>866</v>
      </c>
      <c r="D351" s="39"/>
      <c r="E351" s="39"/>
      <c r="G351" s="270" t="s">
        <v>866</v>
      </c>
      <c r="H351" s="39"/>
    </row>
    <row r="352" spans="1:9" ht="15">
      <c r="A352" s="39"/>
      <c r="B352" s="61"/>
      <c r="C352" s="38" t="s">
        <v>269</v>
      </c>
      <c r="D352" s="62"/>
      <c r="E352" s="62"/>
      <c r="F352" s="240" t="s">
        <v>351</v>
      </c>
      <c r="G352" s="240"/>
      <c r="H352" s="240"/>
      <c r="I352" s="240"/>
    </row>
    <row r="353" spans="6:9" ht="15">
      <c r="F353" s="240"/>
      <c r="G353" s="240"/>
      <c r="H353" s="240"/>
      <c r="I353" s="240"/>
    </row>
    <row r="354" spans="6:9" ht="15">
      <c r="F354" s="240"/>
      <c r="G354" s="240"/>
      <c r="H354" s="240"/>
      <c r="I354" s="240"/>
    </row>
  </sheetData>
  <sheetProtection/>
  <mergeCells count="70">
    <mergeCell ref="E54:F54"/>
    <mergeCell ref="E52:F52"/>
    <mergeCell ref="E55:F55"/>
    <mergeCell ref="A8:B8"/>
    <mergeCell ref="A9:B9"/>
    <mergeCell ref="A10:B10"/>
    <mergeCell ref="E24:F24"/>
    <mergeCell ref="B25:B26"/>
    <mergeCell ref="C25:C26"/>
    <mergeCell ref="D25:D26"/>
    <mergeCell ref="E25:E26"/>
    <mergeCell ref="F25:F26"/>
    <mergeCell ref="A1:F1"/>
    <mergeCell ref="A2:F2"/>
    <mergeCell ref="A3:F3"/>
    <mergeCell ref="A4:F4"/>
    <mergeCell ref="A5:F5"/>
    <mergeCell ref="E7:F7"/>
    <mergeCell ref="B318:E318"/>
    <mergeCell ref="B346:E346"/>
    <mergeCell ref="G349:H349"/>
    <mergeCell ref="F352:I352"/>
    <mergeCell ref="F353:I353"/>
    <mergeCell ref="F354:I354"/>
    <mergeCell ref="G281:H281"/>
    <mergeCell ref="F284:I284"/>
    <mergeCell ref="A286:I286"/>
    <mergeCell ref="A287:I287"/>
    <mergeCell ref="B289:B290"/>
    <mergeCell ref="C289:H290"/>
    <mergeCell ref="A185:I185"/>
    <mergeCell ref="A241:C241"/>
    <mergeCell ref="A242:I242"/>
    <mergeCell ref="A245:C245"/>
    <mergeCell ref="B321:B322"/>
    <mergeCell ref="C321:H322"/>
    <mergeCell ref="A249:C249"/>
    <mergeCell ref="A250:I250"/>
    <mergeCell ref="A277:C277"/>
    <mergeCell ref="A278:C278"/>
    <mergeCell ref="A110:I110"/>
    <mergeCell ref="A112:C112"/>
    <mergeCell ref="A246:I246"/>
    <mergeCell ref="A115:C115"/>
    <mergeCell ref="A116:I116"/>
    <mergeCell ref="A137:C137"/>
    <mergeCell ref="A138:I138"/>
    <mergeCell ref="A159:C159"/>
    <mergeCell ref="A160:I160"/>
    <mergeCell ref="A184:C184"/>
    <mergeCell ref="A113:I113"/>
    <mergeCell ref="G68:H68"/>
    <mergeCell ref="A70:I70"/>
    <mergeCell ref="A73:C73"/>
    <mergeCell ref="A74:I74"/>
    <mergeCell ref="A76:C76"/>
    <mergeCell ref="A77:I77"/>
    <mergeCell ref="A86:C86"/>
    <mergeCell ref="A87:I87"/>
    <mergeCell ref="A109:C109"/>
    <mergeCell ref="A63:I63"/>
    <mergeCell ref="A64:I64"/>
    <mergeCell ref="A65:I65"/>
    <mergeCell ref="A67:A69"/>
    <mergeCell ref="B67:C69"/>
    <mergeCell ref="D67:E67"/>
    <mergeCell ref="F67:F69"/>
    <mergeCell ref="G67:H67"/>
    <mergeCell ref="I67:I69"/>
    <mergeCell ref="D68:E68"/>
  </mergeCells>
  <printOptions horizontalCentered="1"/>
  <pageMargins left="0.3" right="0.3" top="0.5" bottom="1.1" header="0.3" footer="0.3"/>
  <pageSetup orientation="portrait" paperSize="5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4"/>
  <sheetViews>
    <sheetView zoomScalePageLayoutView="0" workbookViewId="0" topLeftCell="A5">
      <selection activeCell="B13" sqref="B13:B18"/>
    </sheetView>
  </sheetViews>
  <sheetFormatPr defaultColWidth="11.00390625" defaultRowHeight="15"/>
  <cols>
    <col min="1" max="1" width="5.140625" style="0" bestFit="1" customWidth="1"/>
    <col min="2" max="2" width="4.28125" style="0" bestFit="1" customWidth="1"/>
    <col min="3" max="3" width="30.00390625" style="0" customWidth="1"/>
    <col min="4" max="4" width="18.7109375" style="0" customWidth="1"/>
    <col min="5" max="6" width="20.7109375" style="0" customWidth="1"/>
    <col min="7" max="9" width="16.7109375" style="0" customWidth="1"/>
    <col min="10" max="10" width="14.7109375" style="0" customWidth="1"/>
    <col min="11" max="11" width="12.57421875" style="0" bestFit="1" customWidth="1"/>
    <col min="12" max="12" width="17.7109375" style="0" bestFit="1" customWidth="1"/>
    <col min="13" max="13" width="16.57421875" style="0" bestFit="1" customWidth="1"/>
    <col min="14" max="14" width="15.140625" style="0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816</v>
      </c>
      <c r="F7" s="259"/>
    </row>
    <row r="8" spans="1:6" ht="18.75">
      <c r="A8" s="246" t="s">
        <v>748</v>
      </c>
      <c r="B8" s="246"/>
      <c r="C8" s="136" t="s">
        <v>817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200"/>
      <c r="F20" s="200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869</v>
      </c>
      <c r="C22" s="135"/>
      <c r="D22" s="135"/>
      <c r="E22" s="135"/>
      <c r="F22" s="137"/>
    </row>
    <row r="23" spans="2:6" ht="18.75">
      <c r="B23" s="135" t="s">
        <v>818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819</v>
      </c>
      <c r="D29" s="147"/>
      <c r="E29" s="147"/>
      <c r="F29" s="148">
        <f>'[1]Juni'!F28</f>
        <v>1618209514</v>
      </c>
    </row>
    <row r="30" spans="1:6" ht="18.75">
      <c r="A30" s="140"/>
      <c r="B30" s="145"/>
      <c r="C30" s="146" t="s">
        <v>820</v>
      </c>
      <c r="D30" s="200">
        <v>94010210</v>
      </c>
      <c r="E30" s="150"/>
      <c r="F30" s="147"/>
    </row>
    <row r="31" spans="1:6" ht="18.75">
      <c r="A31" s="140"/>
      <c r="B31" s="145"/>
      <c r="C31" s="146" t="s">
        <v>821</v>
      </c>
      <c r="D31" s="147"/>
      <c r="E31" s="201">
        <v>184984400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1527235324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819</v>
      </c>
      <c r="D34" s="157"/>
      <c r="E34" s="158"/>
      <c r="F34" s="157">
        <f>'[1]maret'!F33</f>
        <v>2675000</v>
      </c>
    </row>
    <row r="35" spans="1:6" ht="18.75">
      <c r="A35" s="140"/>
      <c r="B35" s="145"/>
      <c r="C35" s="146" t="s">
        <v>820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821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94010210</v>
      </c>
      <c r="E38" s="160">
        <f>E31+E36</f>
        <v>184984400</v>
      </c>
      <c r="F38" s="161">
        <f>F32+F37</f>
        <v>1529910324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819</v>
      </c>
      <c r="D41" s="147"/>
      <c r="E41" s="166"/>
      <c r="F41" s="160">
        <f>'[1]Juni'!F40</f>
        <v>1160068608</v>
      </c>
    </row>
    <row r="42" spans="1:6" ht="18.75">
      <c r="A42" s="167"/>
      <c r="B42" s="145"/>
      <c r="C42" s="146" t="s">
        <v>820</v>
      </c>
      <c r="D42" s="200">
        <v>113514993</v>
      </c>
      <c r="E42" s="168"/>
      <c r="F42" s="166"/>
    </row>
    <row r="43" spans="1:6" ht="18.75">
      <c r="A43" s="140"/>
      <c r="B43" s="145"/>
      <c r="C43" s="146" t="s">
        <v>821</v>
      </c>
      <c r="D43" s="150"/>
      <c r="E43" s="169">
        <f>7314262+1991000</f>
        <v>9305262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1264278339</v>
      </c>
    </row>
    <row r="45" spans="1:6" ht="18.75">
      <c r="A45" s="140"/>
      <c r="B45" s="145"/>
      <c r="C45" s="171" t="s">
        <v>822</v>
      </c>
      <c r="D45" s="172">
        <f>D30+D42</f>
        <v>207525203</v>
      </c>
      <c r="E45" s="172">
        <f>E31+E43</f>
        <v>194289662</v>
      </c>
      <c r="F45" s="173">
        <f>F38+F44</f>
        <v>2794188663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79"/>
    </row>
    <row r="49" spans="1:6" ht="18.75">
      <c r="A49" s="175"/>
      <c r="B49" s="176" t="s">
        <v>773</v>
      </c>
      <c r="C49" s="137"/>
      <c r="D49" s="177"/>
      <c r="E49" s="137"/>
      <c r="F49" s="180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136"/>
      <c r="F54" s="180" t="s">
        <v>866</v>
      </c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1" spans="1:9" ht="22.5">
      <c r="A61" s="206" t="s">
        <v>0</v>
      </c>
      <c r="B61" s="206"/>
      <c r="C61" s="206"/>
      <c r="D61" s="206"/>
      <c r="E61" s="206"/>
      <c r="F61" s="206"/>
      <c r="G61" s="206"/>
      <c r="H61" s="206"/>
      <c r="I61" s="206"/>
    </row>
    <row r="62" spans="1:9" ht="22.5">
      <c r="A62" s="206" t="s">
        <v>1</v>
      </c>
      <c r="B62" s="206"/>
      <c r="C62" s="206"/>
      <c r="D62" s="206"/>
      <c r="E62" s="206"/>
      <c r="F62" s="206"/>
      <c r="G62" s="206"/>
      <c r="H62" s="206"/>
      <c r="I62" s="206"/>
    </row>
    <row r="63" spans="1:9" ht="20.25">
      <c r="A63" s="207" t="s">
        <v>491</v>
      </c>
      <c r="B63" s="207"/>
      <c r="C63" s="207"/>
      <c r="D63" s="207"/>
      <c r="E63" s="207"/>
      <c r="F63" s="207"/>
      <c r="G63" s="207"/>
      <c r="H63" s="207"/>
      <c r="I63" s="207"/>
    </row>
    <row r="64" spans="1:9" ht="15.75" thickBot="1">
      <c r="A64" s="1"/>
      <c r="B64" s="1"/>
      <c r="C64" s="1"/>
      <c r="D64" s="1"/>
      <c r="E64" s="1"/>
      <c r="F64" s="1"/>
      <c r="G64" s="1"/>
      <c r="H64" s="1"/>
      <c r="I64" s="1"/>
    </row>
    <row r="65" spans="1:9" ht="15.75" thickTop="1">
      <c r="A65" s="208" t="s">
        <v>2</v>
      </c>
      <c r="B65" s="211" t="s">
        <v>3</v>
      </c>
      <c r="C65" s="267"/>
      <c r="D65" s="217" t="s">
        <v>4</v>
      </c>
      <c r="E65" s="218"/>
      <c r="F65" s="219" t="s">
        <v>5</v>
      </c>
      <c r="G65" s="217" t="s">
        <v>4</v>
      </c>
      <c r="H65" s="218"/>
      <c r="I65" s="219" t="s">
        <v>5</v>
      </c>
    </row>
    <row r="66" spans="1:9" ht="15">
      <c r="A66" s="209"/>
      <c r="B66" s="213"/>
      <c r="C66" s="268"/>
      <c r="D66" s="222" t="s">
        <v>490</v>
      </c>
      <c r="E66" s="223"/>
      <c r="F66" s="220"/>
      <c r="G66" s="222" t="s">
        <v>492</v>
      </c>
      <c r="H66" s="223"/>
      <c r="I66" s="220"/>
    </row>
    <row r="67" spans="1:12" ht="15">
      <c r="A67" s="210"/>
      <c r="B67" s="215"/>
      <c r="C67" s="269"/>
      <c r="D67" s="2" t="s">
        <v>6</v>
      </c>
      <c r="E67" s="2" t="s">
        <v>7</v>
      </c>
      <c r="F67" s="221"/>
      <c r="G67" s="2" t="s">
        <v>6</v>
      </c>
      <c r="H67" s="2" t="s">
        <v>7</v>
      </c>
      <c r="I67" s="221"/>
      <c r="L67" t="s">
        <v>198</v>
      </c>
    </row>
    <row r="68" spans="1:9" ht="15">
      <c r="A68" s="230" t="s">
        <v>8</v>
      </c>
      <c r="B68" s="231"/>
      <c r="C68" s="231"/>
      <c r="D68" s="231"/>
      <c r="E68" s="231"/>
      <c r="F68" s="231"/>
      <c r="G68" s="231"/>
      <c r="H68" s="231"/>
      <c r="I68" s="232"/>
    </row>
    <row r="69" spans="1:9" ht="15">
      <c r="A69" s="80">
        <v>1</v>
      </c>
      <c r="B69" s="3">
        <v>1</v>
      </c>
      <c r="C69" s="4" t="s">
        <v>9</v>
      </c>
      <c r="D69" s="5"/>
      <c r="E69" s="5"/>
      <c r="F69" s="6">
        <f>SUM(D69:E69)</f>
        <v>0</v>
      </c>
      <c r="G69" s="5"/>
      <c r="H69" s="5">
        <v>5000000</v>
      </c>
      <c r="I69" s="6">
        <f>SUM(G69:H69)</f>
        <v>5000000</v>
      </c>
    </row>
    <row r="70" spans="1:9" ht="15">
      <c r="A70" s="80">
        <v>2</v>
      </c>
      <c r="B70" s="3">
        <v>2</v>
      </c>
      <c r="C70" s="4" t="s">
        <v>10</v>
      </c>
      <c r="D70" s="5"/>
      <c r="E70" s="5"/>
      <c r="F70" s="6">
        <f>SUM(D70:E70)</f>
        <v>0</v>
      </c>
      <c r="G70" s="5"/>
      <c r="H70" s="5"/>
      <c r="I70" s="6">
        <f>SUM(G70:H70)</f>
        <v>0</v>
      </c>
    </row>
    <row r="71" spans="1:9" ht="15">
      <c r="A71" s="224" t="s">
        <v>5</v>
      </c>
      <c r="B71" s="225"/>
      <c r="C71" s="225"/>
      <c r="D71" s="7">
        <f>SUM(D69:D70)</f>
        <v>0</v>
      </c>
      <c r="E71" s="8">
        <f>SUM(E69:E70)</f>
        <v>0</v>
      </c>
      <c r="F71" s="7">
        <f>SUM(D71:E71)</f>
        <v>0</v>
      </c>
      <c r="G71" s="7">
        <f>SUM(G69:G70)</f>
        <v>0</v>
      </c>
      <c r="H71" s="8">
        <f>SUM(H69:H70)</f>
        <v>5000000</v>
      </c>
      <c r="I71" s="7">
        <f>SUM(G71:H71)</f>
        <v>5000000</v>
      </c>
    </row>
    <row r="72" spans="1:9" ht="15">
      <c r="A72" s="227" t="s">
        <v>11</v>
      </c>
      <c r="B72" s="228"/>
      <c r="C72" s="228"/>
      <c r="D72" s="228"/>
      <c r="E72" s="228"/>
      <c r="F72" s="228"/>
      <c r="G72" s="228"/>
      <c r="H72" s="228"/>
      <c r="I72" s="229"/>
    </row>
    <row r="73" spans="1:9" ht="15">
      <c r="A73" s="9">
        <v>3</v>
      </c>
      <c r="B73" s="9">
        <v>1</v>
      </c>
      <c r="C73" s="10" t="s">
        <v>12</v>
      </c>
      <c r="D73" s="5">
        <v>2080214</v>
      </c>
      <c r="E73" s="5"/>
      <c r="F73" s="6">
        <f>SUM(D73:E73)</f>
        <v>2080214</v>
      </c>
      <c r="G73" s="5">
        <v>2080214</v>
      </c>
      <c r="H73" s="5"/>
      <c r="I73" s="6">
        <f>SUM(G73:H73)</f>
        <v>2080214</v>
      </c>
    </row>
    <row r="74" spans="1:9" ht="15">
      <c r="A74" s="224" t="s">
        <v>5</v>
      </c>
      <c r="B74" s="225"/>
      <c r="C74" s="225"/>
      <c r="D74" s="7">
        <f>SUM(D72:D73)</f>
        <v>2080214</v>
      </c>
      <c r="E74" s="8">
        <f>SUM(E72:E73)</f>
        <v>0</v>
      </c>
      <c r="F74" s="7">
        <f>SUM(D74:E74)</f>
        <v>2080214</v>
      </c>
      <c r="G74" s="7">
        <f>SUM(G72:G73)</f>
        <v>2080214</v>
      </c>
      <c r="H74" s="8">
        <f>SUM(H72:H73)</f>
        <v>0</v>
      </c>
      <c r="I74" s="7">
        <f>SUM(G74:H74)</f>
        <v>2080214</v>
      </c>
    </row>
    <row r="75" spans="1:9" ht="15">
      <c r="A75" s="224" t="s">
        <v>13</v>
      </c>
      <c r="B75" s="225"/>
      <c r="C75" s="225"/>
      <c r="D75" s="225"/>
      <c r="E75" s="225"/>
      <c r="F75" s="225"/>
      <c r="G75" s="225"/>
      <c r="H75" s="225"/>
      <c r="I75" s="226"/>
    </row>
    <row r="76" spans="1:9" ht="15">
      <c r="A76" s="11">
        <v>4</v>
      </c>
      <c r="B76" s="12">
        <v>1</v>
      </c>
      <c r="C76" s="95" t="s">
        <v>312</v>
      </c>
      <c r="D76" s="5">
        <v>2345000</v>
      </c>
      <c r="E76" s="5">
        <v>509000</v>
      </c>
      <c r="F76" s="6">
        <f aca="true" t="shared" si="0" ref="F76:F84">SUM(D76:E76)</f>
        <v>2854000</v>
      </c>
      <c r="G76" s="5">
        <v>2345000</v>
      </c>
      <c r="H76" s="5">
        <v>509000</v>
      </c>
      <c r="I76" s="6">
        <f aca="true" t="shared" si="1" ref="I76:I83">SUM(G76:H76)</f>
        <v>2854000</v>
      </c>
    </row>
    <row r="77" spans="1:9" ht="15">
      <c r="A77" s="11">
        <v>5</v>
      </c>
      <c r="B77" s="12">
        <v>2</v>
      </c>
      <c r="C77" s="13" t="s">
        <v>234</v>
      </c>
      <c r="D77" s="5">
        <v>1737689</v>
      </c>
      <c r="E77" s="5">
        <v>220550</v>
      </c>
      <c r="F77" s="6">
        <f t="shared" si="0"/>
        <v>1958239</v>
      </c>
      <c r="G77" s="5">
        <v>1737689</v>
      </c>
      <c r="H77" s="5">
        <v>215550</v>
      </c>
      <c r="I77" s="6">
        <f t="shared" si="1"/>
        <v>1953239</v>
      </c>
    </row>
    <row r="78" spans="1:9" ht="15">
      <c r="A78" s="11">
        <v>6</v>
      </c>
      <c r="B78" s="12">
        <v>3</v>
      </c>
      <c r="C78" s="13" t="s">
        <v>15</v>
      </c>
      <c r="D78" s="5">
        <v>2527350</v>
      </c>
      <c r="E78" s="14">
        <v>112100</v>
      </c>
      <c r="F78" s="6">
        <f t="shared" si="0"/>
        <v>2639450</v>
      </c>
      <c r="G78" s="5">
        <v>2537350</v>
      </c>
      <c r="H78" s="14">
        <v>112100</v>
      </c>
      <c r="I78" s="6">
        <f t="shared" si="1"/>
        <v>2649450</v>
      </c>
    </row>
    <row r="79" spans="1:9" ht="15">
      <c r="A79" s="11">
        <v>7</v>
      </c>
      <c r="B79" s="12">
        <v>4</v>
      </c>
      <c r="C79" s="13" t="s">
        <v>16</v>
      </c>
      <c r="D79" s="5"/>
      <c r="E79" s="5"/>
      <c r="F79" s="6">
        <f t="shared" si="0"/>
        <v>0</v>
      </c>
      <c r="G79" s="5"/>
      <c r="H79" s="5"/>
      <c r="I79" s="6">
        <f t="shared" si="1"/>
        <v>0</v>
      </c>
    </row>
    <row r="80" spans="1:9" ht="15">
      <c r="A80" s="11">
        <v>8</v>
      </c>
      <c r="B80" s="12">
        <v>5</v>
      </c>
      <c r="C80" s="13" t="s">
        <v>17</v>
      </c>
      <c r="D80" s="5"/>
      <c r="E80" s="5"/>
      <c r="F80" s="6">
        <f t="shared" si="0"/>
        <v>0</v>
      </c>
      <c r="G80" s="5"/>
      <c r="H80" s="5"/>
      <c r="I80" s="6">
        <f t="shared" si="1"/>
        <v>0</v>
      </c>
    </row>
    <row r="81" spans="1:9" ht="15">
      <c r="A81" s="11">
        <v>9</v>
      </c>
      <c r="B81" s="12">
        <v>6</v>
      </c>
      <c r="C81" s="13" t="s">
        <v>18</v>
      </c>
      <c r="D81" s="5"/>
      <c r="E81" s="5"/>
      <c r="F81" s="6">
        <f t="shared" si="0"/>
        <v>0</v>
      </c>
      <c r="G81" s="5"/>
      <c r="H81" s="5"/>
      <c r="I81" s="6">
        <f t="shared" si="1"/>
        <v>0</v>
      </c>
    </row>
    <row r="82" spans="1:9" ht="15">
      <c r="A82" s="11">
        <v>10</v>
      </c>
      <c r="B82" s="12">
        <v>7</v>
      </c>
      <c r="C82" s="15" t="s">
        <v>19</v>
      </c>
      <c r="D82" s="5">
        <v>297278</v>
      </c>
      <c r="E82" s="5">
        <v>58000</v>
      </c>
      <c r="F82" s="6">
        <f t="shared" si="0"/>
        <v>355278</v>
      </c>
      <c r="G82" s="5">
        <v>297278</v>
      </c>
      <c r="H82" s="5">
        <v>58000</v>
      </c>
      <c r="I82" s="6">
        <f t="shared" si="1"/>
        <v>355278</v>
      </c>
    </row>
    <row r="83" spans="1:9" ht="15">
      <c r="A83" s="90">
        <v>11</v>
      </c>
      <c r="B83" s="12">
        <v>8</v>
      </c>
      <c r="C83" s="13" t="s">
        <v>307</v>
      </c>
      <c r="D83" s="5">
        <v>2465706</v>
      </c>
      <c r="E83" s="5">
        <v>361000</v>
      </c>
      <c r="F83" s="6">
        <f t="shared" si="0"/>
        <v>2826706</v>
      </c>
      <c r="G83" s="5">
        <v>2461731</v>
      </c>
      <c r="H83" s="5">
        <v>337000</v>
      </c>
      <c r="I83" s="6">
        <f t="shared" si="1"/>
        <v>2798731</v>
      </c>
    </row>
    <row r="84" spans="1:11" ht="15">
      <c r="A84" s="224" t="s">
        <v>5</v>
      </c>
      <c r="B84" s="225"/>
      <c r="C84" s="225"/>
      <c r="D84" s="7">
        <f>SUM(D76:D83)</f>
        <v>9373023</v>
      </c>
      <c r="E84" s="7">
        <f>SUM(E76:E83)</f>
        <v>1260650</v>
      </c>
      <c r="F84" s="7">
        <f t="shared" si="0"/>
        <v>10633673</v>
      </c>
      <c r="G84" s="7">
        <f>SUM(G76:G83)</f>
        <v>9379048</v>
      </c>
      <c r="H84" s="7">
        <f>SUM(H76:H83)</f>
        <v>1231650</v>
      </c>
      <c r="I84" s="7">
        <f>SUM(G84:H84)</f>
        <v>10610698</v>
      </c>
      <c r="K84" s="16"/>
    </row>
    <row r="85" spans="1:9" ht="15">
      <c r="A85" s="224" t="s">
        <v>20</v>
      </c>
      <c r="B85" s="225"/>
      <c r="C85" s="225"/>
      <c r="D85" s="225"/>
      <c r="E85" s="225"/>
      <c r="F85" s="225"/>
      <c r="G85" s="225"/>
      <c r="H85" s="225"/>
      <c r="I85" s="226"/>
    </row>
    <row r="86" spans="1:9" ht="15">
      <c r="A86" s="17">
        <v>12</v>
      </c>
      <c r="B86" s="15">
        <v>1</v>
      </c>
      <c r="C86" s="13" t="s">
        <v>255</v>
      </c>
      <c r="D86" s="5">
        <v>2249663</v>
      </c>
      <c r="E86" s="18">
        <v>1336215</v>
      </c>
      <c r="F86" s="6">
        <f aca="true" t="shared" si="2" ref="F86:F106">SUM(D86:E86)</f>
        <v>3585878</v>
      </c>
      <c r="G86" s="5">
        <v>2249663</v>
      </c>
      <c r="H86" s="18">
        <v>1327215</v>
      </c>
      <c r="I86" s="6">
        <f aca="true" t="shared" si="3" ref="I86:I107">SUM(G86:H86)</f>
        <v>3576878</v>
      </c>
    </row>
    <row r="87" spans="1:9" ht="15">
      <c r="A87" s="17">
        <v>13</v>
      </c>
      <c r="B87" s="15">
        <v>2</v>
      </c>
      <c r="C87" s="13" t="s">
        <v>21</v>
      </c>
      <c r="D87" s="5">
        <v>3833045</v>
      </c>
      <c r="E87" s="5">
        <v>5055000</v>
      </c>
      <c r="F87" s="6">
        <f t="shared" si="2"/>
        <v>8888045</v>
      </c>
      <c r="G87" s="5">
        <v>3833045</v>
      </c>
      <c r="H87" s="5">
        <v>5695000</v>
      </c>
      <c r="I87" s="6">
        <f t="shared" si="3"/>
        <v>9528045</v>
      </c>
    </row>
    <row r="88" spans="1:9" ht="15">
      <c r="A88" s="17">
        <v>14</v>
      </c>
      <c r="B88" s="15">
        <v>3</v>
      </c>
      <c r="C88" s="13" t="s">
        <v>314</v>
      </c>
      <c r="D88" s="5">
        <v>2043750</v>
      </c>
      <c r="E88" s="5">
        <v>561000</v>
      </c>
      <c r="F88" s="6">
        <f t="shared" si="2"/>
        <v>2604750</v>
      </c>
      <c r="G88" s="5">
        <v>2142750</v>
      </c>
      <c r="H88" s="5">
        <v>560000</v>
      </c>
      <c r="I88" s="6">
        <f t="shared" si="3"/>
        <v>2702750</v>
      </c>
    </row>
    <row r="89" spans="1:9" ht="15">
      <c r="A89" s="17">
        <v>15</v>
      </c>
      <c r="B89" s="15">
        <v>4</v>
      </c>
      <c r="C89" s="13" t="s">
        <v>253</v>
      </c>
      <c r="D89" s="5">
        <v>680373</v>
      </c>
      <c r="E89" s="5">
        <v>733785</v>
      </c>
      <c r="F89" s="6">
        <f t="shared" si="2"/>
        <v>1414158</v>
      </c>
      <c r="G89" s="5">
        <v>680373</v>
      </c>
      <c r="H89" s="5">
        <v>723785</v>
      </c>
      <c r="I89" s="6">
        <f t="shared" si="3"/>
        <v>1404158</v>
      </c>
    </row>
    <row r="90" spans="1:9" ht="15">
      <c r="A90" s="17">
        <v>16</v>
      </c>
      <c r="B90" s="15">
        <v>5</v>
      </c>
      <c r="C90" s="13" t="s">
        <v>24</v>
      </c>
      <c r="D90" s="5">
        <v>2113600</v>
      </c>
      <c r="E90" s="5">
        <v>85000</v>
      </c>
      <c r="F90" s="6">
        <f t="shared" si="2"/>
        <v>2198600</v>
      </c>
      <c r="G90" s="5">
        <v>2117300</v>
      </c>
      <c r="H90" s="5">
        <v>85000</v>
      </c>
      <c r="I90" s="6">
        <f t="shared" si="3"/>
        <v>2202300</v>
      </c>
    </row>
    <row r="91" spans="1:9" ht="15">
      <c r="A91" s="17">
        <v>17</v>
      </c>
      <c r="B91" s="15">
        <v>6</v>
      </c>
      <c r="C91" s="13" t="s">
        <v>25</v>
      </c>
      <c r="D91" s="5">
        <v>2030000</v>
      </c>
      <c r="E91" s="5">
        <v>476000</v>
      </c>
      <c r="F91" s="6">
        <f t="shared" si="2"/>
        <v>2506000</v>
      </c>
      <c r="G91" s="5">
        <v>2030000</v>
      </c>
      <c r="H91" s="5">
        <v>424000</v>
      </c>
      <c r="I91" s="6">
        <f t="shared" si="3"/>
        <v>2454000</v>
      </c>
    </row>
    <row r="92" spans="1:9" ht="15">
      <c r="A92" s="17">
        <v>18</v>
      </c>
      <c r="B92" s="15">
        <v>7</v>
      </c>
      <c r="C92" s="95" t="s">
        <v>26</v>
      </c>
      <c r="D92" s="5">
        <v>3946700</v>
      </c>
      <c r="E92" s="5">
        <v>182550</v>
      </c>
      <c r="F92" s="6">
        <f t="shared" si="2"/>
        <v>4129250</v>
      </c>
      <c r="G92" s="5">
        <v>3946700</v>
      </c>
      <c r="H92" s="5">
        <v>182550</v>
      </c>
      <c r="I92" s="6">
        <f t="shared" si="3"/>
        <v>4129250</v>
      </c>
    </row>
    <row r="93" spans="1:9" ht="15">
      <c r="A93" s="17">
        <v>19</v>
      </c>
      <c r="B93" s="15">
        <v>8</v>
      </c>
      <c r="C93" s="95" t="s">
        <v>242</v>
      </c>
      <c r="D93" s="5">
        <v>2560100</v>
      </c>
      <c r="E93" s="5"/>
      <c r="F93" s="6">
        <f t="shared" si="2"/>
        <v>2560100</v>
      </c>
      <c r="G93" s="5">
        <v>2560100</v>
      </c>
      <c r="H93" s="5"/>
      <c r="I93" s="6">
        <f t="shared" si="3"/>
        <v>2560100</v>
      </c>
    </row>
    <row r="94" spans="1:9" ht="15">
      <c r="A94" s="17">
        <v>20</v>
      </c>
      <c r="B94" s="15">
        <v>9</v>
      </c>
      <c r="C94" s="95" t="s">
        <v>28</v>
      </c>
      <c r="D94" s="5">
        <v>860000</v>
      </c>
      <c r="E94" s="5">
        <v>152000</v>
      </c>
      <c r="F94" s="6">
        <f t="shared" si="2"/>
        <v>1012000</v>
      </c>
      <c r="G94" s="5">
        <v>1038000</v>
      </c>
      <c r="H94" s="5">
        <v>152000</v>
      </c>
      <c r="I94" s="6">
        <f t="shared" si="3"/>
        <v>1190000</v>
      </c>
    </row>
    <row r="95" spans="1:9" ht="15">
      <c r="A95" s="17">
        <v>21</v>
      </c>
      <c r="B95" s="15">
        <v>10</v>
      </c>
      <c r="C95" s="95" t="s">
        <v>203</v>
      </c>
      <c r="D95" s="5">
        <v>2792909</v>
      </c>
      <c r="E95" s="5">
        <v>1448590</v>
      </c>
      <c r="F95" s="6">
        <f t="shared" si="2"/>
        <v>4241499</v>
      </c>
      <c r="G95" s="5">
        <v>2932884</v>
      </c>
      <c r="H95" s="5">
        <v>1445000</v>
      </c>
      <c r="I95" s="6">
        <f t="shared" si="3"/>
        <v>4377884</v>
      </c>
    </row>
    <row r="96" spans="1:9" ht="15">
      <c r="A96" s="17">
        <v>22</v>
      </c>
      <c r="B96" s="15">
        <v>11</v>
      </c>
      <c r="C96" s="95" t="s">
        <v>244</v>
      </c>
      <c r="D96" s="5">
        <v>1451145</v>
      </c>
      <c r="E96" s="5">
        <v>389133</v>
      </c>
      <c r="F96" s="6">
        <f t="shared" si="2"/>
        <v>1840278</v>
      </c>
      <c r="G96" s="5">
        <v>1378045</v>
      </c>
      <c r="H96" s="5">
        <v>389133</v>
      </c>
      <c r="I96" s="6">
        <f t="shared" si="3"/>
        <v>1767178</v>
      </c>
    </row>
    <row r="97" spans="1:9" ht="15">
      <c r="A97" s="17">
        <v>23</v>
      </c>
      <c r="B97" s="15">
        <v>12</v>
      </c>
      <c r="C97" s="95" t="s">
        <v>31</v>
      </c>
      <c r="D97" s="5">
        <v>1199500</v>
      </c>
      <c r="E97" s="18">
        <v>300000</v>
      </c>
      <c r="F97" s="6">
        <f t="shared" si="2"/>
        <v>1499500</v>
      </c>
      <c r="G97" s="5">
        <v>1372000</v>
      </c>
      <c r="H97" s="18">
        <v>300000</v>
      </c>
      <c r="I97" s="6">
        <f t="shared" si="3"/>
        <v>1672000</v>
      </c>
    </row>
    <row r="98" spans="1:9" ht="15">
      <c r="A98" s="17">
        <v>24</v>
      </c>
      <c r="B98" s="15">
        <v>13</v>
      </c>
      <c r="C98" s="95" t="s">
        <v>32</v>
      </c>
      <c r="D98" s="5"/>
      <c r="E98" s="5"/>
      <c r="F98" s="6">
        <f t="shared" si="2"/>
        <v>0</v>
      </c>
      <c r="G98" s="5"/>
      <c r="H98" s="5"/>
      <c r="I98" s="6">
        <f t="shared" si="3"/>
        <v>0</v>
      </c>
    </row>
    <row r="99" spans="1:9" ht="15">
      <c r="A99" s="17">
        <v>25</v>
      </c>
      <c r="B99" s="15">
        <v>14</v>
      </c>
      <c r="C99" s="95" t="s">
        <v>423</v>
      </c>
      <c r="D99" s="5">
        <v>2036778</v>
      </c>
      <c r="E99" s="5"/>
      <c r="F99" s="6">
        <f t="shared" si="2"/>
        <v>2036778</v>
      </c>
      <c r="G99" s="5"/>
      <c r="H99" s="5"/>
      <c r="I99" s="6">
        <f t="shared" si="3"/>
        <v>0</v>
      </c>
    </row>
    <row r="100" spans="1:9" ht="15">
      <c r="A100" s="17">
        <v>26</v>
      </c>
      <c r="B100" s="15">
        <v>15</v>
      </c>
      <c r="C100" s="95" t="s">
        <v>230</v>
      </c>
      <c r="D100" s="5">
        <v>865000</v>
      </c>
      <c r="E100" s="5">
        <v>1624600</v>
      </c>
      <c r="F100" s="6">
        <f t="shared" si="2"/>
        <v>2489600</v>
      </c>
      <c r="G100" s="5">
        <v>865000</v>
      </c>
      <c r="H100" s="5">
        <v>1604600</v>
      </c>
      <c r="I100" s="6">
        <f t="shared" si="3"/>
        <v>2469600</v>
      </c>
    </row>
    <row r="101" spans="1:9" ht="15">
      <c r="A101" s="17">
        <v>27</v>
      </c>
      <c r="B101" s="15">
        <v>16</v>
      </c>
      <c r="C101" s="95" t="s">
        <v>252</v>
      </c>
      <c r="D101" s="5">
        <v>1303418</v>
      </c>
      <c r="E101" s="5">
        <v>25000</v>
      </c>
      <c r="F101" s="6">
        <f t="shared" si="2"/>
        <v>1328418</v>
      </c>
      <c r="G101" s="5">
        <v>1303418</v>
      </c>
      <c r="H101" s="5">
        <v>25000</v>
      </c>
      <c r="I101" s="6">
        <f t="shared" si="3"/>
        <v>1328418</v>
      </c>
    </row>
    <row r="102" spans="1:9" ht="15">
      <c r="A102" s="17">
        <v>28</v>
      </c>
      <c r="B102" s="15">
        <v>17</v>
      </c>
      <c r="C102" s="95" t="s">
        <v>313</v>
      </c>
      <c r="D102" s="5">
        <f>422000+425000</f>
        <v>847000</v>
      </c>
      <c r="E102" s="5">
        <f>505000*2</f>
        <v>1010000</v>
      </c>
      <c r="F102" s="6">
        <f t="shared" si="2"/>
        <v>1857000</v>
      </c>
      <c r="G102" s="5"/>
      <c r="H102" s="5"/>
      <c r="I102" s="6">
        <f t="shared" si="3"/>
        <v>0</v>
      </c>
    </row>
    <row r="103" spans="1:9" ht="15">
      <c r="A103" s="17">
        <v>29</v>
      </c>
      <c r="B103" s="15">
        <v>18</v>
      </c>
      <c r="C103" s="96" t="s">
        <v>240</v>
      </c>
      <c r="D103" s="5">
        <v>3191750</v>
      </c>
      <c r="E103" s="5"/>
      <c r="F103" s="6">
        <f t="shared" si="2"/>
        <v>3191750</v>
      </c>
      <c r="G103" s="5">
        <v>3191750</v>
      </c>
      <c r="H103" s="5"/>
      <c r="I103" s="6">
        <f t="shared" si="3"/>
        <v>3191750</v>
      </c>
    </row>
    <row r="104" spans="1:9" ht="15">
      <c r="A104" s="17">
        <v>30</v>
      </c>
      <c r="B104" s="15">
        <v>19</v>
      </c>
      <c r="C104" s="96" t="s">
        <v>243</v>
      </c>
      <c r="D104" s="5">
        <v>489505</v>
      </c>
      <c r="E104" s="5">
        <v>772450</v>
      </c>
      <c r="F104" s="6">
        <f t="shared" si="2"/>
        <v>1261955</v>
      </c>
      <c r="G104" s="5">
        <v>489505</v>
      </c>
      <c r="H104" s="5">
        <v>767450</v>
      </c>
      <c r="I104" s="6">
        <f t="shared" si="3"/>
        <v>1256955</v>
      </c>
    </row>
    <row r="105" spans="1:9" ht="15">
      <c r="A105" s="17">
        <v>31</v>
      </c>
      <c r="B105" s="15">
        <v>20</v>
      </c>
      <c r="C105" s="96" t="s">
        <v>311</v>
      </c>
      <c r="D105" s="5">
        <v>774900</v>
      </c>
      <c r="E105" s="5">
        <v>116000</v>
      </c>
      <c r="F105" s="6">
        <f t="shared" si="2"/>
        <v>890900</v>
      </c>
      <c r="G105" s="5">
        <v>774900</v>
      </c>
      <c r="H105" s="5">
        <v>116000</v>
      </c>
      <c r="I105" s="6">
        <f t="shared" si="3"/>
        <v>890900</v>
      </c>
    </row>
    <row r="106" spans="1:9" ht="15">
      <c r="A106" s="17">
        <v>32</v>
      </c>
      <c r="B106" s="15">
        <v>21</v>
      </c>
      <c r="C106" s="96" t="s">
        <v>315</v>
      </c>
      <c r="D106" s="5">
        <v>634500</v>
      </c>
      <c r="E106" s="5"/>
      <c r="F106" s="6">
        <f t="shared" si="2"/>
        <v>634500</v>
      </c>
      <c r="G106" s="5">
        <v>635000</v>
      </c>
      <c r="H106" s="5"/>
      <c r="I106" s="6">
        <f t="shared" si="3"/>
        <v>635000</v>
      </c>
    </row>
    <row r="107" spans="1:9" ht="15">
      <c r="A107" s="224" t="s">
        <v>5</v>
      </c>
      <c r="B107" s="225"/>
      <c r="C107" s="225"/>
      <c r="D107" s="7">
        <f>SUM(D86:D106)</f>
        <v>35903636</v>
      </c>
      <c r="E107" s="7">
        <f>SUM(E86:E106)</f>
        <v>14267323</v>
      </c>
      <c r="F107" s="7">
        <f>SUM(D107:E107)</f>
        <v>50170959</v>
      </c>
      <c r="G107" s="7">
        <f>SUM(G86:G106)</f>
        <v>33540433</v>
      </c>
      <c r="H107" s="7">
        <f>SUM(H86:H106)</f>
        <v>13796733</v>
      </c>
      <c r="I107" s="7">
        <f t="shared" si="3"/>
        <v>47337166</v>
      </c>
    </row>
    <row r="108" spans="1:9" ht="15">
      <c r="A108" s="224" t="s">
        <v>47</v>
      </c>
      <c r="B108" s="225"/>
      <c r="C108" s="225"/>
      <c r="D108" s="225"/>
      <c r="E108" s="225"/>
      <c r="F108" s="225"/>
      <c r="G108" s="225"/>
      <c r="H108" s="225"/>
      <c r="I108" s="226"/>
    </row>
    <row r="109" spans="1:9" ht="15">
      <c r="A109" s="15">
        <v>33</v>
      </c>
      <c r="B109" s="15">
        <v>1</v>
      </c>
      <c r="C109" s="15" t="s">
        <v>48</v>
      </c>
      <c r="D109" s="5">
        <v>900000</v>
      </c>
      <c r="E109" s="5">
        <v>200000</v>
      </c>
      <c r="F109" s="6">
        <f>SUM(D109:E109)</f>
        <v>1100000</v>
      </c>
      <c r="G109" s="5">
        <v>900000</v>
      </c>
      <c r="H109" s="5">
        <v>200000</v>
      </c>
      <c r="I109" s="6">
        <f>SUM(G109:H109)</f>
        <v>1100000</v>
      </c>
    </row>
    <row r="110" spans="1:9" ht="15">
      <c r="A110" s="224" t="s">
        <v>42</v>
      </c>
      <c r="B110" s="225"/>
      <c r="C110" s="225"/>
      <c r="D110" s="7">
        <f>D109</f>
        <v>900000</v>
      </c>
      <c r="E110" s="7">
        <f>E109</f>
        <v>200000</v>
      </c>
      <c r="F110" s="7">
        <f>SUM(D110:E110)</f>
        <v>1100000</v>
      </c>
      <c r="G110" s="7">
        <f>G109</f>
        <v>900000</v>
      </c>
      <c r="H110" s="7">
        <f>H109</f>
        <v>200000</v>
      </c>
      <c r="I110" s="7">
        <f>SUM(G110:H110)</f>
        <v>1100000</v>
      </c>
    </row>
    <row r="111" spans="1:9" ht="15">
      <c r="A111" s="224" t="s">
        <v>49</v>
      </c>
      <c r="B111" s="225"/>
      <c r="C111" s="225"/>
      <c r="D111" s="225"/>
      <c r="E111" s="225"/>
      <c r="F111" s="225"/>
      <c r="G111" s="225"/>
      <c r="H111" s="225"/>
      <c r="I111" s="226"/>
    </row>
    <row r="112" spans="1:9" ht="15">
      <c r="A112" s="15">
        <v>34</v>
      </c>
      <c r="B112" s="15">
        <v>1</v>
      </c>
      <c r="C112" s="19" t="s">
        <v>50</v>
      </c>
      <c r="D112" s="5">
        <v>1804173</v>
      </c>
      <c r="E112" s="5">
        <v>509150</v>
      </c>
      <c r="F112" s="6">
        <f>SUM(D112:E112)</f>
        <v>2313323</v>
      </c>
      <c r="G112" s="5">
        <v>1804200</v>
      </c>
      <c r="H112" s="5">
        <v>509200</v>
      </c>
      <c r="I112" s="6">
        <f>SUM(G112:H112)</f>
        <v>2313400</v>
      </c>
    </row>
    <row r="113" spans="1:9" ht="15">
      <c r="A113" s="224" t="s">
        <v>42</v>
      </c>
      <c r="B113" s="225"/>
      <c r="C113" s="225"/>
      <c r="D113" s="7">
        <f>D112</f>
        <v>1804173</v>
      </c>
      <c r="E113" s="7">
        <f>E112</f>
        <v>509150</v>
      </c>
      <c r="F113" s="7">
        <f>SUM(D113:E113)</f>
        <v>2313323</v>
      </c>
      <c r="G113" s="7">
        <f>G112</f>
        <v>1804200</v>
      </c>
      <c r="H113" s="7">
        <f>H112</f>
        <v>509200</v>
      </c>
      <c r="I113" s="7">
        <f>SUM(G113:H113)</f>
        <v>2313400</v>
      </c>
    </row>
    <row r="114" spans="1:9" ht="15">
      <c r="A114" s="224" t="s">
        <v>51</v>
      </c>
      <c r="B114" s="225"/>
      <c r="C114" s="225"/>
      <c r="D114" s="225"/>
      <c r="E114" s="225"/>
      <c r="F114" s="225"/>
      <c r="G114" s="225"/>
      <c r="H114" s="225"/>
      <c r="I114" s="226"/>
    </row>
    <row r="115" spans="1:9" ht="15">
      <c r="A115" s="15">
        <v>35</v>
      </c>
      <c r="B115" s="15">
        <v>1</v>
      </c>
      <c r="C115" s="19" t="s">
        <v>52</v>
      </c>
      <c r="D115" s="5">
        <v>1692000</v>
      </c>
      <c r="E115" s="5">
        <v>649500</v>
      </c>
      <c r="F115" s="6">
        <f>SUM(D115:E115)</f>
        <v>2341500</v>
      </c>
      <c r="G115" s="5">
        <v>1682000</v>
      </c>
      <c r="H115" s="5">
        <v>649500</v>
      </c>
      <c r="I115" s="6">
        <f>SUM(G115:H115)</f>
        <v>2331500</v>
      </c>
    </row>
    <row r="116" spans="1:9" ht="15">
      <c r="A116" s="15">
        <v>36</v>
      </c>
      <c r="B116" s="15">
        <v>2</v>
      </c>
      <c r="C116" s="19" t="s">
        <v>53</v>
      </c>
      <c r="D116" s="5"/>
      <c r="E116" s="5"/>
      <c r="F116" s="6">
        <f aca="true" t="shared" si="4" ref="F116:F134">SUM(D116:E116)</f>
        <v>0</v>
      </c>
      <c r="G116" s="5">
        <v>244000</v>
      </c>
      <c r="H116" s="5">
        <v>540000</v>
      </c>
      <c r="I116" s="6">
        <f aca="true" t="shared" si="5" ref="I116:I124">SUM(G116:H116)</f>
        <v>784000</v>
      </c>
    </row>
    <row r="117" spans="1:9" ht="15">
      <c r="A117" s="15">
        <v>37</v>
      </c>
      <c r="B117" s="15">
        <v>3</v>
      </c>
      <c r="C117" s="20" t="s">
        <v>54</v>
      </c>
      <c r="D117" s="5"/>
      <c r="E117" s="5"/>
      <c r="F117" s="6">
        <f t="shared" si="4"/>
        <v>0</v>
      </c>
      <c r="G117" s="5">
        <v>1134200</v>
      </c>
      <c r="H117" s="5">
        <v>1584000</v>
      </c>
      <c r="I117" s="6">
        <f t="shared" si="5"/>
        <v>2718200</v>
      </c>
    </row>
    <row r="118" spans="1:9" ht="15">
      <c r="A118" s="15">
        <v>38</v>
      </c>
      <c r="B118" s="21">
        <v>4</v>
      </c>
      <c r="C118" s="20" t="s">
        <v>55</v>
      </c>
      <c r="D118" s="5"/>
      <c r="E118" s="5"/>
      <c r="F118" s="6">
        <f t="shared" si="4"/>
        <v>0</v>
      </c>
      <c r="G118" s="5"/>
      <c r="H118" s="5"/>
      <c r="I118" s="6">
        <f t="shared" si="5"/>
        <v>0</v>
      </c>
    </row>
    <row r="119" spans="1:9" ht="15">
      <c r="A119" s="15">
        <v>39</v>
      </c>
      <c r="B119" s="15">
        <v>5</v>
      </c>
      <c r="C119" s="20" t="s">
        <v>56</v>
      </c>
      <c r="D119" s="5">
        <v>505700</v>
      </c>
      <c r="E119" s="5">
        <v>157000</v>
      </c>
      <c r="F119" s="6">
        <f t="shared" si="4"/>
        <v>662700</v>
      </c>
      <c r="G119" s="5">
        <v>505700</v>
      </c>
      <c r="H119" s="5">
        <v>157000</v>
      </c>
      <c r="I119" s="6">
        <f t="shared" si="5"/>
        <v>662700</v>
      </c>
    </row>
    <row r="120" spans="1:9" ht="15">
      <c r="A120" s="15">
        <v>40</v>
      </c>
      <c r="B120" s="15">
        <v>6</v>
      </c>
      <c r="C120" s="20" t="s">
        <v>57</v>
      </c>
      <c r="D120" s="5">
        <v>1377000</v>
      </c>
      <c r="E120" s="5">
        <v>100000</v>
      </c>
      <c r="F120" s="6">
        <f t="shared" si="4"/>
        <v>1477000</v>
      </c>
      <c r="G120" s="5">
        <v>1390940</v>
      </c>
      <c r="H120" s="5">
        <v>100000</v>
      </c>
      <c r="I120" s="6">
        <f t="shared" si="5"/>
        <v>1490940</v>
      </c>
    </row>
    <row r="121" spans="1:9" ht="15">
      <c r="A121" s="15">
        <v>41</v>
      </c>
      <c r="B121" s="15">
        <v>7</v>
      </c>
      <c r="C121" s="20" t="s">
        <v>58</v>
      </c>
      <c r="D121" s="5"/>
      <c r="E121" s="5"/>
      <c r="F121" s="6">
        <f t="shared" si="4"/>
        <v>0</v>
      </c>
      <c r="G121" s="5"/>
      <c r="H121" s="5"/>
      <c r="I121" s="6">
        <f t="shared" si="5"/>
        <v>0</v>
      </c>
    </row>
    <row r="122" spans="1:9" ht="15">
      <c r="A122" s="15">
        <v>42</v>
      </c>
      <c r="B122" s="15">
        <v>8</v>
      </c>
      <c r="C122" s="19" t="s">
        <v>59</v>
      </c>
      <c r="D122" s="5">
        <v>760000</v>
      </c>
      <c r="E122" s="5">
        <v>100000</v>
      </c>
      <c r="F122" s="6">
        <f t="shared" si="4"/>
        <v>860000</v>
      </c>
      <c r="G122" s="5">
        <v>760000</v>
      </c>
      <c r="H122" s="5">
        <v>100000</v>
      </c>
      <c r="I122" s="6">
        <f t="shared" si="5"/>
        <v>860000</v>
      </c>
    </row>
    <row r="123" spans="1:9" ht="15">
      <c r="A123" s="15">
        <v>43</v>
      </c>
      <c r="B123" s="15">
        <v>9</v>
      </c>
      <c r="C123" s="19" t="s">
        <v>60</v>
      </c>
      <c r="D123" s="5">
        <v>250500</v>
      </c>
      <c r="E123" s="5">
        <v>230000</v>
      </c>
      <c r="F123" s="6">
        <f t="shared" si="4"/>
        <v>480500</v>
      </c>
      <c r="G123" s="5">
        <v>250500</v>
      </c>
      <c r="H123" s="5">
        <v>230000</v>
      </c>
      <c r="I123" s="6">
        <f t="shared" si="5"/>
        <v>480500</v>
      </c>
    </row>
    <row r="124" spans="1:9" ht="15">
      <c r="A124" s="15">
        <v>44</v>
      </c>
      <c r="B124" s="15">
        <v>10</v>
      </c>
      <c r="C124" s="19" t="s">
        <v>61</v>
      </c>
      <c r="D124" s="5">
        <v>260400</v>
      </c>
      <c r="E124" s="5">
        <v>120000</v>
      </c>
      <c r="F124" s="6">
        <f t="shared" si="4"/>
        <v>380400</v>
      </c>
      <c r="G124" s="5">
        <v>260400</v>
      </c>
      <c r="H124" s="5">
        <v>120000</v>
      </c>
      <c r="I124" s="6">
        <f t="shared" si="5"/>
        <v>380400</v>
      </c>
    </row>
    <row r="125" spans="1:9" ht="15">
      <c r="A125" s="15">
        <v>45</v>
      </c>
      <c r="B125" s="15">
        <v>11</v>
      </c>
      <c r="C125" s="19" t="s">
        <v>62</v>
      </c>
      <c r="D125" s="5">
        <v>921200</v>
      </c>
      <c r="F125" s="6">
        <f>SUM(D125:E125)</f>
        <v>921200</v>
      </c>
      <c r="G125" s="5">
        <v>929591</v>
      </c>
      <c r="I125" s="6">
        <f>SUM(G125:H125)</f>
        <v>929591</v>
      </c>
    </row>
    <row r="126" spans="1:9" ht="15">
      <c r="A126" s="15">
        <v>46</v>
      </c>
      <c r="B126" s="15">
        <v>12</v>
      </c>
      <c r="C126" s="19" t="s">
        <v>63</v>
      </c>
      <c r="D126" s="5"/>
      <c r="E126" s="5"/>
      <c r="F126" s="6">
        <f t="shared" si="4"/>
        <v>0</v>
      </c>
      <c r="G126" s="5"/>
      <c r="H126" s="5"/>
      <c r="I126" s="6">
        <f>SUM(G126:H126)</f>
        <v>0</v>
      </c>
    </row>
    <row r="127" spans="1:9" ht="15">
      <c r="A127" s="15">
        <v>47</v>
      </c>
      <c r="B127" s="15">
        <v>13</v>
      </c>
      <c r="C127" s="19" t="s">
        <v>64</v>
      </c>
      <c r="D127" s="5">
        <v>621000</v>
      </c>
      <c r="E127" s="5">
        <v>100000</v>
      </c>
      <c r="F127" s="6">
        <f t="shared" si="4"/>
        <v>721000</v>
      </c>
      <c r="G127" s="5"/>
      <c r="H127" s="5"/>
      <c r="I127" s="6">
        <f>SUM(G127:H127)</f>
        <v>0</v>
      </c>
    </row>
    <row r="128" spans="1:9" ht="15">
      <c r="A128" s="15">
        <v>48</v>
      </c>
      <c r="B128" s="15">
        <v>14</v>
      </c>
      <c r="C128" s="19" t="s">
        <v>65</v>
      </c>
      <c r="D128" s="5">
        <v>127000</v>
      </c>
      <c r="E128" s="5">
        <v>125000</v>
      </c>
      <c r="F128" s="6">
        <f>SUM(D128:E128)</f>
        <v>252000</v>
      </c>
      <c r="G128" s="5">
        <v>127000</v>
      </c>
      <c r="H128" s="5">
        <v>125000</v>
      </c>
      <c r="I128" s="6">
        <f>SUM(G128:H128)</f>
        <v>252000</v>
      </c>
    </row>
    <row r="129" spans="1:9" ht="15">
      <c r="A129" s="15">
        <v>49</v>
      </c>
      <c r="B129" s="15">
        <v>15</v>
      </c>
      <c r="C129" s="78" t="s">
        <v>66</v>
      </c>
      <c r="D129" s="5"/>
      <c r="E129" s="5"/>
      <c r="F129" s="6">
        <f t="shared" si="4"/>
        <v>0</v>
      </c>
      <c r="G129" s="5"/>
      <c r="H129" s="5"/>
      <c r="I129" s="6">
        <f aca="true" t="shared" si="6" ref="I129:I134">SUM(G129:H129)</f>
        <v>0</v>
      </c>
    </row>
    <row r="130" spans="1:9" ht="15">
      <c r="A130" s="15">
        <v>50</v>
      </c>
      <c r="B130" s="15">
        <v>16</v>
      </c>
      <c r="C130" s="19" t="s">
        <v>67</v>
      </c>
      <c r="D130" s="5">
        <v>975000</v>
      </c>
      <c r="E130" s="5"/>
      <c r="F130" s="6">
        <f t="shared" si="4"/>
        <v>975000</v>
      </c>
      <c r="G130" s="5">
        <v>972000</v>
      </c>
      <c r="H130" s="5"/>
      <c r="I130" s="6">
        <f t="shared" si="6"/>
        <v>972000</v>
      </c>
    </row>
    <row r="131" spans="1:9" ht="15">
      <c r="A131" s="15">
        <v>51</v>
      </c>
      <c r="B131" s="15">
        <v>17</v>
      </c>
      <c r="C131" s="19" t="s">
        <v>68</v>
      </c>
      <c r="D131" s="5"/>
      <c r="E131" s="5"/>
      <c r="F131" s="6">
        <f t="shared" si="4"/>
        <v>0</v>
      </c>
      <c r="G131" s="5"/>
      <c r="H131" s="5"/>
      <c r="I131" s="6">
        <f t="shared" si="6"/>
        <v>0</v>
      </c>
    </row>
    <row r="132" spans="1:9" ht="15">
      <c r="A132" s="15">
        <v>52</v>
      </c>
      <c r="B132" s="15">
        <v>18</v>
      </c>
      <c r="C132" s="19" t="s">
        <v>69</v>
      </c>
      <c r="D132" s="5"/>
      <c r="E132" s="5"/>
      <c r="F132" s="6">
        <f t="shared" si="4"/>
        <v>0</v>
      </c>
      <c r="G132" s="5">
        <f>615597+604304</f>
        <v>1219901</v>
      </c>
      <c r="H132" s="5">
        <f>160000+160000</f>
        <v>320000</v>
      </c>
      <c r="I132" s="6">
        <f t="shared" si="6"/>
        <v>1539901</v>
      </c>
    </row>
    <row r="133" spans="1:9" ht="15">
      <c r="A133" s="15">
        <v>53</v>
      </c>
      <c r="B133" s="15">
        <v>19</v>
      </c>
      <c r="C133" s="19" t="s">
        <v>70</v>
      </c>
      <c r="D133" s="5"/>
      <c r="E133" s="5"/>
      <c r="F133" s="6">
        <f t="shared" si="4"/>
        <v>0</v>
      </c>
      <c r="G133" s="5"/>
      <c r="H133" s="5"/>
      <c r="I133" s="6">
        <f t="shared" si="6"/>
        <v>0</v>
      </c>
    </row>
    <row r="134" spans="1:9" ht="15">
      <c r="A134" s="15">
        <v>54</v>
      </c>
      <c r="B134" s="15">
        <v>20</v>
      </c>
      <c r="C134" s="19" t="s">
        <v>71</v>
      </c>
      <c r="D134" s="5"/>
      <c r="E134" s="5"/>
      <c r="F134" s="6">
        <f t="shared" si="4"/>
        <v>0</v>
      </c>
      <c r="G134" s="5">
        <v>530956</v>
      </c>
      <c r="H134" s="5">
        <v>296510</v>
      </c>
      <c r="I134" s="6">
        <f t="shared" si="6"/>
        <v>827466</v>
      </c>
    </row>
    <row r="135" spans="1:13" ht="15">
      <c r="A135" s="224" t="s">
        <v>5</v>
      </c>
      <c r="B135" s="225"/>
      <c r="C135" s="225"/>
      <c r="D135" s="7">
        <f>SUM(D115:D134)</f>
        <v>7489800</v>
      </c>
      <c r="E135" s="7">
        <f>SUM(E115:E134)</f>
        <v>1581500</v>
      </c>
      <c r="F135" s="7">
        <f>SUM(D135:E135)</f>
        <v>9071300</v>
      </c>
      <c r="G135" s="7">
        <f>SUM(G115:G134)</f>
        <v>10007188</v>
      </c>
      <c r="H135" s="7">
        <f>SUM(H115:H134)</f>
        <v>4222010</v>
      </c>
      <c r="I135" s="7">
        <f>SUM(G135:H135)</f>
        <v>14229198</v>
      </c>
      <c r="M135" t="s">
        <v>348</v>
      </c>
    </row>
    <row r="136" spans="1:9" ht="15">
      <c r="A136" s="234" t="s">
        <v>72</v>
      </c>
      <c r="B136" s="235"/>
      <c r="C136" s="235"/>
      <c r="D136" s="235"/>
      <c r="E136" s="235"/>
      <c r="F136" s="235"/>
      <c r="G136" s="235"/>
      <c r="H136" s="235"/>
      <c r="I136" s="236"/>
    </row>
    <row r="137" spans="1:9" ht="15">
      <c r="A137" s="15">
        <v>55</v>
      </c>
      <c r="B137" s="15">
        <v>1</v>
      </c>
      <c r="C137" s="20" t="s">
        <v>73</v>
      </c>
      <c r="D137" s="5">
        <v>1357440</v>
      </c>
      <c r="E137" s="5">
        <v>842800</v>
      </c>
      <c r="F137" s="6">
        <f>SUM(D137:E137)</f>
        <v>2200240</v>
      </c>
      <c r="G137" s="5">
        <v>1357440</v>
      </c>
      <c r="H137" s="5">
        <v>842800</v>
      </c>
      <c r="I137" s="6">
        <f>SUM(G137:H137)</f>
        <v>2200240</v>
      </c>
    </row>
    <row r="138" spans="1:9" ht="15">
      <c r="A138" s="15">
        <v>56</v>
      </c>
      <c r="B138" s="15">
        <v>2</v>
      </c>
      <c r="C138" s="20" t="s">
        <v>74</v>
      </c>
      <c r="D138" s="5">
        <v>345000</v>
      </c>
      <c r="E138" s="5">
        <v>254000</v>
      </c>
      <c r="F138" s="6">
        <f>SUM(D138:E138)</f>
        <v>599000</v>
      </c>
      <c r="G138" s="5">
        <v>345000</v>
      </c>
      <c r="H138" s="5">
        <v>254000</v>
      </c>
      <c r="I138" s="6">
        <f>SUM(G138:H138)</f>
        <v>599000</v>
      </c>
    </row>
    <row r="139" spans="1:9" ht="15">
      <c r="A139" s="15">
        <v>57</v>
      </c>
      <c r="B139" s="15">
        <v>3</v>
      </c>
      <c r="C139" s="20" t="s">
        <v>75</v>
      </c>
      <c r="D139" s="5"/>
      <c r="E139" s="5"/>
      <c r="F139" s="6">
        <f aca="true" t="shared" si="7" ref="F139:F156">SUM(D139:E139)</f>
        <v>0</v>
      </c>
      <c r="G139" s="5">
        <v>1134200</v>
      </c>
      <c r="H139" s="5">
        <v>1247500</v>
      </c>
      <c r="I139" s="6">
        <f aca="true" t="shared" si="8" ref="I139:I156">SUM(G139:H139)</f>
        <v>2381700</v>
      </c>
    </row>
    <row r="140" spans="1:9" ht="15">
      <c r="A140" s="15">
        <v>58</v>
      </c>
      <c r="B140" s="15">
        <v>4</v>
      </c>
      <c r="C140" s="20" t="s">
        <v>76</v>
      </c>
      <c r="D140" s="5"/>
      <c r="E140" s="5"/>
      <c r="F140" s="6">
        <f t="shared" si="7"/>
        <v>0</v>
      </c>
      <c r="G140" s="5"/>
      <c r="H140" s="5">
        <v>300000</v>
      </c>
      <c r="I140" s="6">
        <f t="shared" si="8"/>
        <v>300000</v>
      </c>
    </row>
    <row r="141" spans="1:9" ht="15">
      <c r="A141" s="15">
        <v>59</v>
      </c>
      <c r="B141" s="15">
        <v>5</v>
      </c>
      <c r="C141" s="22" t="s">
        <v>77</v>
      </c>
      <c r="D141" s="5">
        <v>912000</v>
      </c>
      <c r="E141" s="5"/>
      <c r="F141" s="6">
        <f t="shared" si="7"/>
        <v>912000</v>
      </c>
      <c r="G141" s="5"/>
      <c r="H141" s="5"/>
      <c r="I141" s="6">
        <f t="shared" si="8"/>
        <v>0</v>
      </c>
    </row>
    <row r="142" spans="1:9" ht="15">
      <c r="A142" s="15">
        <v>60</v>
      </c>
      <c r="B142" s="15">
        <v>6</v>
      </c>
      <c r="C142" s="20" t="s">
        <v>78</v>
      </c>
      <c r="D142" s="5">
        <v>794000</v>
      </c>
      <c r="E142" s="5">
        <v>1319500</v>
      </c>
      <c r="F142" s="6">
        <f t="shared" si="7"/>
        <v>2113500</v>
      </c>
      <c r="G142" s="5">
        <v>1044000</v>
      </c>
      <c r="H142" s="5">
        <v>1289500</v>
      </c>
      <c r="I142" s="6">
        <f t="shared" si="8"/>
        <v>2333500</v>
      </c>
    </row>
    <row r="143" spans="1:9" ht="15">
      <c r="A143" s="15">
        <v>61</v>
      </c>
      <c r="B143" s="15">
        <v>7</v>
      </c>
      <c r="C143" s="20" t="s">
        <v>79</v>
      </c>
      <c r="D143" s="5">
        <v>315000</v>
      </c>
      <c r="E143" s="5">
        <v>450000</v>
      </c>
      <c r="F143" s="6">
        <f t="shared" si="7"/>
        <v>765000</v>
      </c>
      <c r="G143" s="5">
        <v>314000</v>
      </c>
      <c r="H143" s="5">
        <v>450000</v>
      </c>
      <c r="I143" s="6">
        <f t="shared" si="8"/>
        <v>764000</v>
      </c>
    </row>
    <row r="144" spans="1:9" ht="15">
      <c r="A144" s="15">
        <v>62</v>
      </c>
      <c r="B144" s="15">
        <v>8</v>
      </c>
      <c r="C144" s="20" t="s">
        <v>80</v>
      </c>
      <c r="D144" s="5">
        <v>571000</v>
      </c>
      <c r="E144" s="5">
        <v>939000</v>
      </c>
      <c r="F144" s="6">
        <f t="shared" si="7"/>
        <v>1510000</v>
      </c>
      <c r="G144" s="5"/>
      <c r="H144" s="5"/>
      <c r="I144" s="6">
        <f t="shared" si="8"/>
        <v>0</v>
      </c>
    </row>
    <row r="145" spans="1:9" ht="15">
      <c r="A145" s="15">
        <v>63</v>
      </c>
      <c r="B145" s="15">
        <v>9</v>
      </c>
      <c r="C145" s="20" t="s">
        <v>81</v>
      </c>
      <c r="D145" s="5">
        <v>333000</v>
      </c>
      <c r="E145" s="5">
        <v>495000</v>
      </c>
      <c r="F145" s="6">
        <f t="shared" si="7"/>
        <v>828000</v>
      </c>
      <c r="G145" s="5">
        <v>321000</v>
      </c>
      <c r="H145" s="5">
        <v>475000</v>
      </c>
      <c r="I145" s="6">
        <f t="shared" si="8"/>
        <v>796000</v>
      </c>
    </row>
    <row r="146" spans="1:9" ht="15">
      <c r="A146" s="15">
        <v>64</v>
      </c>
      <c r="B146" s="15">
        <v>10</v>
      </c>
      <c r="C146" s="20" t="s">
        <v>82</v>
      </c>
      <c r="D146" s="5">
        <v>357100</v>
      </c>
      <c r="E146" s="5">
        <v>72000</v>
      </c>
      <c r="F146" s="6">
        <f t="shared" si="7"/>
        <v>429100</v>
      </c>
      <c r="G146" s="5">
        <v>357100</v>
      </c>
      <c r="H146" s="5">
        <v>72000</v>
      </c>
      <c r="I146" s="6">
        <f t="shared" si="8"/>
        <v>429100</v>
      </c>
    </row>
    <row r="147" spans="1:9" ht="15">
      <c r="A147" s="15">
        <v>65</v>
      </c>
      <c r="B147" s="15">
        <v>11</v>
      </c>
      <c r="C147" s="20" t="s">
        <v>83</v>
      </c>
      <c r="D147" s="5">
        <v>200000</v>
      </c>
      <c r="E147" s="5">
        <v>600000</v>
      </c>
      <c r="F147" s="6">
        <f t="shared" si="7"/>
        <v>800000</v>
      </c>
      <c r="G147" s="5"/>
      <c r="H147" s="5"/>
      <c r="I147" s="6">
        <f t="shared" si="8"/>
        <v>0</v>
      </c>
    </row>
    <row r="148" spans="1:9" ht="15">
      <c r="A148" s="15">
        <v>66</v>
      </c>
      <c r="B148" s="15">
        <v>12</v>
      </c>
      <c r="C148" s="20" t="s">
        <v>84</v>
      </c>
      <c r="D148" s="5">
        <v>201700</v>
      </c>
      <c r="E148" s="5">
        <v>809000</v>
      </c>
      <c r="F148" s="6">
        <f t="shared" si="7"/>
        <v>1010700</v>
      </c>
      <c r="G148" s="5">
        <v>201700</v>
      </c>
      <c r="H148" s="5">
        <v>809000</v>
      </c>
      <c r="I148" s="6">
        <f t="shared" si="8"/>
        <v>1010700</v>
      </c>
    </row>
    <row r="149" spans="1:9" ht="15">
      <c r="A149" s="15">
        <v>67</v>
      </c>
      <c r="B149" s="15">
        <v>13</v>
      </c>
      <c r="C149" s="20" t="s">
        <v>85</v>
      </c>
      <c r="D149" s="18"/>
      <c r="E149" s="18">
        <v>500000</v>
      </c>
      <c r="F149" s="6">
        <f t="shared" si="7"/>
        <v>500000</v>
      </c>
      <c r="G149" s="18"/>
      <c r="H149" s="18">
        <v>500000</v>
      </c>
      <c r="I149" s="6">
        <f t="shared" si="8"/>
        <v>500000</v>
      </c>
    </row>
    <row r="150" spans="1:9" ht="15">
      <c r="A150" s="15">
        <v>68</v>
      </c>
      <c r="B150" s="15">
        <v>14</v>
      </c>
      <c r="C150" s="22" t="s">
        <v>86</v>
      </c>
      <c r="D150" s="5"/>
      <c r="E150" s="5">
        <f>1060000*4</f>
        <v>4240000</v>
      </c>
      <c r="F150" s="6">
        <f t="shared" si="7"/>
        <v>4240000</v>
      </c>
      <c r="G150" s="5"/>
      <c r="H150" s="5"/>
      <c r="I150" s="6">
        <f t="shared" si="8"/>
        <v>0</v>
      </c>
    </row>
    <row r="151" spans="1:9" ht="15">
      <c r="A151" s="15">
        <v>69</v>
      </c>
      <c r="B151" s="15">
        <v>15</v>
      </c>
      <c r="C151" s="20" t="s">
        <v>87</v>
      </c>
      <c r="D151" s="5"/>
      <c r="E151" s="5">
        <v>1016000</v>
      </c>
      <c r="F151" s="6">
        <f t="shared" si="7"/>
        <v>1016000</v>
      </c>
      <c r="G151" s="5"/>
      <c r="H151" s="5">
        <v>1001000</v>
      </c>
      <c r="I151" s="6">
        <f t="shared" si="8"/>
        <v>1001000</v>
      </c>
    </row>
    <row r="152" spans="1:9" ht="15">
      <c r="A152" s="15">
        <v>70</v>
      </c>
      <c r="B152" s="15">
        <v>16</v>
      </c>
      <c r="C152" s="20" t="s">
        <v>88</v>
      </c>
      <c r="D152" s="5"/>
      <c r="E152" s="5">
        <f>2089000*2</f>
        <v>4178000</v>
      </c>
      <c r="F152" s="6">
        <f t="shared" si="7"/>
        <v>4178000</v>
      </c>
      <c r="G152" s="5"/>
      <c r="H152" s="5"/>
      <c r="I152" s="6">
        <f t="shared" si="8"/>
        <v>0</v>
      </c>
    </row>
    <row r="153" spans="1:9" ht="15">
      <c r="A153" s="15">
        <v>71</v>
      </c>
      <c r="B153" s="15">
        <v>17</v>
      </c>
      <c r="C153" s="20" t="s">
        <v>89</v>
      </c>
      <c r="D153" s="5"/>
      <c r="E153" s="5">
        <v>763000</v>
      </c>
      <c r="F153" s="6">
        <f t="shared" si="7"/>
        <v>763000</v>
      </c>
      <c r="G153" s="5"/>
      <c r="H153" s="5">
        <v>723000</v>
      </c>
      <c r="I153" s="6">
        <f t="shared" si="8"/>
        <v>723000</v>
      </c>
    </row>
    <row r="154" spans="1:9" ht="15">
      <c r="A154" s="15">
        <v>72</v>
      </c>
      <c r="B154" s="15">
        <v>18</v>
      </c>
      <c r="C154" s="19" t="s">
        <v>90</v>
      </c>
      <c r="D154" s="5"/>
      <c r="E154" s="5"/>
      <c r="F154" s="6">
        <f t="shared" si="7"/>
        <v>0</v>
      </c>
      <c r="G154" s="5"/>
      <c r="H154" s="5"/>
      <c r="I154" s="6">
        <f t="shared" si="8"/>
        <v>0</v>
      </c>
    </row>
    <row r="155" spans="1:9" ht="15">
      <c r="A155" s="15">
        <v>73</v>
      </c>
      <c r="B155" s="15">
        <v>19</v>
      </c>
      <c r="C155" s="19" t="s">
        <v>91</v>
      </c>
      <c r="D155" s="5">
        <v>863500</v>
      </c>
      <c r="E155" s="5">
        <v>125000</v>
      </c>
      <c r="F155" s="6">
        <f t="shared" si="7"/>
        <v>988500</v>
      </c>
      <c r="G155" s="5">
        <v>855000</v>
      </c>
      <c r="H155" s="5">
        <v>125000</v>
      </c>
      <c r="I155" s="6">
        <f t="shared" si="8"/>
        <v>980000</v>
      </c>
    </row>
    <row r="156" spans="1:9" ht="15">
      <c r="A156" s="15">
        <v>74</v>
      </c>
      <c r="B156" s="15">
        <v>20</v>
      </c>
      <c r="C156" s="19" t="s">
        <v>92</v>
      </c>
      <c r="D156" s="5">
        <v>309000</v>
      </c>
      <c r="E156" s="5">
        <v>703000</v>
      </c>
      <c r="F156" s="6">
        <f t="shared" si="7"/>
        <v>1012000</v>
      </c>
      <c r="G156" s="5">
        <v>309000</v>
      </c>
      <c r="H156" s="5">
        <v>648200</v>
      </c>
      <c r="I156" s="6">
        <f t="shared" si="8"/>
        <v>957200</v>
      </c>
    </row>
    <row r="157" spans="1:9" ht="15">
      <c r="A157" s="224" t="s">
        <v>5</v>
      </c>
      <c r="B157" s="225"/>
      <c r="C157" s="225"/>
      <c r="D157" s="7">
        <f>SUM(D137:D156)</f>
        <v>6558740</v>
      </c>
      <c r="E157" s="7">
        <f>SUM(E137:E156)</f>
        <v>17306300</v>
      </c>
      <c r="F157" s="7">
        <f>SUM(D157:E157)</f>
        <v>23865040</v>
      </c>
      <c r="G157" s="7">
        <f>SUM(G137:G156)</f>
        <v>6238440</v>
      </c>
      <c r="H157" s="7">
        <f>SUM(H137:H156)</f>
        <v>8737000</v>
      </c>
      <c r="I157" s="7">
        <f>SUM(G157:H157)</f>
        <v>14975440</v>
      </c>
    </row>
    <row r="158" spans="1:9" ht="15">
      <c r="A158" s="224" t="s">
        <v>93</v>
      </c>
      <c r="B158" s="225"/>
      <c r="C158" s="225"/>
      <c r="D158" s="225"/>
      <c r="E158" s="225"/>
      <c r="F158" s="225"/>
      <c r="G158" s="225"/>
      <c r="H158" s="225"/>
      <c r="I158" s="226"/>
    </row>
    <row r="159" spans="1:9" ht="15">
      <c r="A159" s="15">
        <v>75</v>
      </c>
      <c r="B159" s="15">
        <v>1</v>
      </c>
      <c r="C159" s="19" t="s">
        <v>94</v>
      </c>
      <c r="D159" s="5">
        <v>1378120</v>
      </c>
      <c r="E159" s="5">
        <v>102500</v>
      </c>
      <c r="F159" s="6">
        <f>SUM(D159:E159)</f>
        <v>1480620</v>
      </c>
      <c r="G159" s="5">
        <v>1383593</v>
      </c>
      <c r="H159" s="5">
        <v>102500</v>
      </c>
      <c r="I159" s="6">
        <f>SUM(G159:H159)</f>
        <v>1486093</v>
      </c>
    </row>
    <row r="160" spans="1:9" ht="15">
      <c r="A160" s="15">
        <v>76</v>
      </c>
      <c r="B160" s="15">
        <v>2</v>
      </c>
      <c r="C160" s="19" t="s">
        <v>95</v>
      </c>
      <c r="D160" s="5"/>
      <c r="E160" s="5">
        <v>25000</v>
      </c>
      <c r="F160" s="6">
        <f aca="true" t="shared" si="9" ref="F160:F181">SUM(D160:E160)</f>
        <v>25000</v>
      </c>
      <c r="G160" s="5"/>
      <c r="H160" s="5">
        <v>25000</v>
      </c>
      <c r="I160" s="6">
        <f aca="true" t="shared" si="10" ref="I160:I178">SUM(G160:H160)</f>
        <v>25000</v>
      </c>
    </row>
    <row r="161" spans="1:9" ht="15">
      <c r="A161" s="15">
        <v>77</v>
      </c>
      <c r="B161" s="15">
        <v>3</v>
      </c>
      <c r="C161" s="19" t="s">
        <v>96</v>
      </c>
      <c r="D161" s="5"/>
      <c r="E161" s="5">
        <f>260000+75000+40000</f>
        <v>375000</v>
      </c>
      <c r="F161" s="6">
        <f t="shared" si="9"/>
        <v>375000</v>
      </c>
      <c r="G161" s="5"/>
      <c r="H161" s="5">
        <f>260000+40000+75000</f>
        <v>375000</v>
      </c>
      <c r="I161" s="6">
        <f t="shared" si="10"/>
        <v>375000</v>
      </c>
    </row>
    <row r="162" spans="1:9" ht="15">
      <c r="A162" s="15">
        <v>78</v>
      </c>
      <c r="B162" s="15">
        <v>4</v>
      </c>
      <c r="C162" s="19" t="s">
        <v>97</v>
      </c>
      <c r="D162" s="5"/>
      <c r="E162" s="5"/>
      <c r="F162" s="6">
        <f t="shared" si="9"/>
        <v>0</v>
      </c>
      <c r="G162" s="5"/>
      <c r="H162" s="5"/>
      <c r="I162" s="6">
        <f t="shared" si="10"/>
        <v>0</v>
      </c>
    </row>
    <row r="163" spans="1:9" ht="15">
      <c r="A163" s="15">
        <v>79</v>
      </c>
      <c r="B163" s="15">
        <v>5</v>
      </c>
      <c r="C163" s="19" t="s">
        <v>98</v>
      </c>
      <c r="D163" s="5"/>
      <c r="E163" s="5"/>
      <c r="F163" s="6">
        <f t="shared" si="9"/>
        <v>0</v>
      </c>
      <c r="G163" s="5"/>
      <c r="H163" s="5"/>
      <c r="I163" s="6">
        <f t="shared" si="10"/>
        <v>0</v>
      </c>
    </row>
    <row r="164" spans="1:9" ht="15">
      <c r="A164" s="15">
        <v>80</v>
      </c>
      <c r="B164" s="15">
        <v>6</v>
      </c>
      <c r="C164" s="20" t="s">
        <v>99</v>
      </c>
      <c r="D164" s="5"/>
      <c r="E164" s="5"/>
      <c r="F164" s="6">
        <f t="shared" si="9"/>
        <v>0</v>
      </c>
      <c r="G164" s="5"/>
      <c r="H164" s="5"/>
      <c r="I164" s="6">
        <f t="shared" si="10"/>
        <v>0</v>
      </c>
    </row>
    <row r="165" spans="1:9" ht="15">
      <c r="A165" s="15">
        <v>81</v>
      </c>
      <c r="B165" s="15">
        <v>7</v>
      </c>
      <c r="C165" s="19" t="s">
        <v>100</v>
      </c>
      <c r="D165" s="5"/>
      <c r="E165" s="5"/>
      <c r="F165" s="6">
        <f t="shared" si="9"/>
        <v>0</v>
      </c>
      <c r="G165" s="5"/>
      <c r="H165" s="5"/>
      <c r="I165" s="6">
        <f t="shared" si="10"/>
        <v>0</v>
      </c>
    </row>
    <row r="166" spans="1:9" ht="15">
      <c r="A166" s="15">
        <v>82</v>
      </c>
      <c r="B166" s="15">
        <v>8</v>
      </c>
      <c r="C166" s="19" t="s">
        <v>101</v>
      </c>
      <c r="D166" s="5"/>
      <c r="E166" s="5"/>
      <c r="F166" s="6">
        <f t="shared" si="9"/>
        <v>0</v>
      </c>
      <c r="G166" s="5"/>
      <c r="H166" s="5"/>
      <c r="I166" s="6">
        <f t="shared" si="10"/>
        <v>0</v>
      </c>
    </row>
    <row r="167" spans="1:9" ht="15">
      <c r="A167" s="15">
        <v>83</v>
      </c>
      <c r="B167" s="15">
        <v>9</v>
      </c>
      <c r="C167" s="19" t="s">
        <v>102</v>
      </c>
      <c r="D167" s="5"/>
      <c r="E167" s="5"/>
      <c r="F167" s="6">
        <f t="shared" si="9"/>
        <v>0</v>
      </c>
      <c r="G167" s="5"/>
      <c r="H167" s="5"/>
      <c r="I167" s="6">
        <f t="shared" si="10"/>
        <v>0</v>
      </c>
    </row>
    <row r="168" spans="1:9" ht="15">
      <c r="A168" s="15">
        <v>84</v>
      </c>
      <c r="B168" s="15">
        <v>10</v>
      </c>
      <c r="C168" s="19" t="s">
        <v>103</v>
      </c>
      <c r="D168" s="5">
        <v>138000</v>
      </c>
      <c r="E168" s="5">
        <v>1500</v>
      </c>
      <c r="F168" s="6">
        <f t="shared" si="9"/>
        <v>139500</v>
      </c>
      <c r="G168" s="5"/>
      <c r="H168" s="5"/>
      <c r="I168" s="6">
        <f t="shared" si="10"/>
        <v>0</v>
      </c>
    </row>
    <row r="169" spans="1:9" ht="15">
      <c r="A169" s="15">
        <v>85</v>
      </c>
      <c r="B169" s="15">
        <v>11</v>
      </c>
      <c r="C169" s="19" t="s">
        <v>104</v>
      </c>
      <c r="D169" s="5">
        <v>5554052</v>
      </c>
      <c r="E169" s="5"/>
      <c r="F169" s="6">
        <f t="shared" si="9"/>
        <v>5554052</v>
      </c>
      <c r="G169" s="5">
        <v>5331045</v>
      </c>
      <c r="H169" s="5"/>
      <c r="I169" s="6">
        <f t="shared" si="10"/>
        <v>5331045</v>
      </c>
    </row>
    <row r="170" spans="1:9" ht="15">
      <c r="A170" s="15">
        <v>86</v>
      </c>
      <c r="B170" s="15">
        <v>12</v>
      </c>
      <c r="C170" s="19" t="s">
        <v>105</v>
      </c>
      <c r="D170" s="5"/>
      <c r="E170" s="5"/>
      <c r="F170" s="6">
        <f t="shared" si="9"/>
        <v>0</v>
      </c>
      <c r="G170" s="5"/>
      <c r="H170" s="5"/>
      <c r="I170" s="6">
        <f t="shared" si="10"/>
        <v>0</v>
      </c>
    </row>
    <row r="171" spans="1:9" ht="15">
      <c r="A171" s="15">
        <v>87</v>
      </c>
      <c r="B171" s="15">
        <v>13</v>
      </c>
      <c r="C171" s="19" t="s">
        <v>106</v>
      </c>
      <c r="D171" s="5"/>
      <c r="E171" s="5">
        <v>170000</v>
      </c>
      <c r="F171" s="6">
        <f t="shared" si="9"/>
        <v>170000</v>
      </c>
      <c r="G171" s="5"/>
      <c r="H171" s="5"/>
      <c r="I171" s="6">
        <f t="shared" si="10"/>
        <v>0</v>
      </c>
    </row>
    <row r="172" spans="1:9" ht="15">
      <c r="A172" s="15">
        <v>88</v>
      </c>
      <c r="B172" s="15">
        <v>14</v>
      </c>
      <c r="C172" s="19" t="s">
        <v>251</v>
      </c>
      <c r="D172" s="5"/>
      <c r="E172" s="5">
        <v>62000</v>
      </c>
      <c r="F172" s="6">
        <f t="shared" si="9"/>
        <v>62000</v>
      </c>
      <c r="G172" s="5"/>
      <c r="H172" s="5">
        <v>62000</v>
      </c>
      <c r="I172" s="6">
        <f t="shared" si="10"/>
        <v>62000</v>
      </c>
    </row>
    <row r="173" spans="1:9" ht="15">
      <c r="A173" s="15">
        <v>89</v>
      </c>
      <c r="B173" s="15">
        <v>15</v>
      </c>
      <c r="C173" s="19" t="s">
        <v>108</v>
      </c>
      <c r="D173" s="5">
        <v>477000</v>
      </c>
      <c r="E173" s="5">
        <f>460000</f>
        <v>460000</v>
      </c>
      <c r="F173" s="6">
        <f t="shared" si="9"/>
        <v>937000</v>
      </c>
      <c r="G173" s="5">
        <v>477000</v>
      </c>
      <c r="H173" s="5">
        <v>460000</v>
      </c>
      <c r="I173" s="6">
        <f t="shared" si="10"/>
        <v>937000</v>
      </c>
    </row>
    <row r="174" spans="1:9" ht="15">
      <c r="A174" s="15">
        <v>90</v>
      </c>
      <c r="B174" s="15">
        <v>16</v>
      </c>
      <c r="C174" s="19" t="s">
        <v>109</v>
      </c>
      <c r="D174" s="5">
        <v>788100</v>
      </c>
      <c r="E174" s="5">
        <f>401000+325000</f>
        <v>726000</v>
      </c>
      <c r="F174" s="6">
        <f t="shared" si="9"/>
        <v>1514100</v>
      </c>
      <c r="G174" s="5">
        <v>788100</v>
      </c>
      <c r="H174" s="5">
        <f>325000+401000</f>
        <v>726000</v>
      </c>
      <c r="I174" s="6">
        <f t="shared" si="10"/>
        <v>1514100</v>
      </c>
    </row>
    <row r="175" spans="1:9" ht="15">
      <c r="A175" s="15">
        <v>91</v>
      </c>
      <c r="B175" s="15">
        <v>17</v>
      </c>
      <c r="C175" s="19" t="s">
        <v>110</v>
      </c>
      <c r="D175" s="5"/>
      <c r="E175" s="5"/>
      <c r="F175" s="6">
        <f t="shared" si="9"/>
        <v>0</v>
      </c>
      <c r="G175" s="5"/>
      <c r="H175" s="5"/>
      <c r="I175" s="6">
        <f t="shared" si="10"/>
        <v>0</v>
      </c>
    </row>
    <row r="176" spans="1:9" ht="15">
      <c r="A176" s="15">
        <v>92</v>
      </c>
      <c r="B176" s="15">
        <v>18</v>
      </c>
      <c r="C176" s="19" t="s">
        <v>111</v>
      </c>
      <c r="D176" s="5"/>
      <c r="E176" s="5"/>
      <c r="F176" s="6">
        <f t="shared" si="9"/>
        <v>0</v>
      </c>
      <c r="G176" s="5"/>
      <c r="H176" s="5"/>
      <c r="I176" s="6">
        <f t="shared" si="10"/>
        <v>0</v>
      </c>
    </row>
    <row r="177" spans="1:9" ht="15">
      <c r="A177" s="15">
        <v>93</v>
      </c>
      <c r="B177" s="15">
        <v>19</v>
      </c>
      <c r="C177" s="19" t="s">
        <v>112</v>
      </c>
      <c r="D177" s="5"/>
      <c r="E177" s="5"/>
      <c r="F177" s="6">
        <f t="shared" si="9"/>
        <v>0</v>
      </c>
      <c r="G177" s="5"/>
      <c r="H177" s="5"/>
      <c r="I177" s="6">
        <f t="shared" si="10"/>
        <v>0</v>
      </c>
    </row>
    <row r="178" spans="1:9" ht="15">
      <c r="A178" s="15">
        <v>94</v>
      </c>
      <c r="B178" s="15">
        <v>20</v>
      </c>
      <c r="C178" s="19" t="s">
        <v>113</v>
      </c>
      <c r="D178" s="5"/>
      <c r="E178" s="5"/>
      <c r="F178" s="6">
        <f t="shared" si="9"/>
        <v>0</v>
      </c>
      <c r="G178" s="5"/>
      <c r="H178" s="5"/>
      <c r="I178" s="6">
        <f t="shared" si="10"/>
        <v>0</v>
      </c>
    </row>
    <row r="179" spans="1:9" ht="15">
      <c r="A179" s="15">
        <v>95</v>
      </c>
      <c r="B179" s="15">
        <v>21</v>
      </c>
      <c r="C179" s="19" t="s">
        <v>114</v>
      </c>
      <c r="D179" s="5"/>
      <c r="E179" s="5"/>
      <c r="F179" s="6">
        <f>SUM(D179:E179)</f>
        <v>0</v>
      </c>
      <c r="G179" s="5"/>
      <c r="H179" s="5"/>
      <c r="I179" s="6">
        <f>SUM(G179:H179)</f>
        <v>0</v>
      </c>
    </row>
    <row r="180" spans="1:9" ht="15">
      <c r="A180" s="15">
        <v>96</v>
      </c>
      <c r="B180" s="15">
        <v>22</v>
      </c>
      <c r="C180" s="19" t="s">
        <v>115</v>
      </c>
      <c r="D180" s="5"/>
      <c r="E180" s="5"/>
      <c r="F180" s="6">
        <f t="shared" si="9"/>
        <v>0</v>
      </c>
      <c r="G180" s="5"/>
      <c r="H180" s="5"/>
      <c r="I180" s="6">
        <f>SUM(G180:H180)</f>
        <v>0</v>
      </c>
    </row>
    <row r="181" spans="1:9" ht="15">
      <c r="A181" s="15">
        <v>97</v>
      </c>
      <c r="B181" s="15">
        <v>23</v>
      </c>
      <c r="C181" s="19" t="s">
        <v>116</v>
      </c>
      <c r="D181" s="5"/>
      <c r="E181" s="5"/>
      <c r="F181" s="6">
        <f t="shared" si="9"/>
        <v>0</v>
      </c>
      <c r="G181" s="5"/>
      <c r="H181" s="5"/>
      <c r="I181" s="6">
        <f>SUM(G181:H181)</f>
        <v>0</v>
      </c>
    </row>
    <row r="182" spans="1:9" ht="15">
      <c r="A182" s="224" t="s">
        <v>5</v>
      </c>
      <c r="B182" s="225"/>
      <c r="C182" s="225"/>
      <c r="D182" s="7">
        <f>SUM(D159:D181)</f>
        <v>8335272</v>
      </c>
      <c r="E182" s="7">
        <f>SUM(E159:E181)</f>
        <v>1922000</v>
      </c>
      <c r="F182" s="7">
        <f>SUM(D182:E182)</f>
        <v>10257272</v>
      </c>
      <c r="G182" s="7">
        <f>SUM(G159:G181)</f>
        <v>7979738</v>
      </c>
      <c r="H182" s="7">
        <f>SUM(H159:H181)</f>
        <v>1750500</v>
      </c>
      <c r="I182" s="7">
        <f>SUM(G182:H182)</f>
        <v>9730238</v>
      </c>
    </row>
    <row r="183" spans="1:9" ht="15">
      <c r="A183" s="224" t="s">
        <v>117</v>
      </c>
      <c r="B183" s="225"/>
      <c r="C183" s="225"/>
      <c r="D183" s="225"/>
      <c r="E183" s="225"/>
      <c r="F183" s="225"/>
      <c r="G183" s="225"/>
      <c r="H183" s="225"/>
      <c r="I183" s="226"/>
    </row>
    <row r="184" spans="1:9" ht="15">
      <c r="A184" s="15">
        <v>98</v>
      </c>
      <c r="B184" s="15">
        <v>1</v>
      </c>
      <c r="C184" s="10" t="s">
        <v>118</v>
      </c>
      <c r="D184" s="5"/>
      <c r="E184" s="5">
        <v>116000</v>
      </c>
      <c r="F184" s="6">
        <f>SUM(D184:E184)</f>
        <v>116000</v>
      </c>
      <c r="G184" s="5"/>
      <c r="H184" s="5">
        <v>50000</v>
      </c>
      <c r="I184" s="6">
        <f>SUM(G184:H184)</f>
        <v>50000</v>
      </c>
    </row>
    <row r="185" spans="1:9" ht="15">
      <c r="A185" s="15">
        <v>99</v>
      </c>
      <c r="B185" s="15">
        <v>2</v>
      </c>
      <c r="C185" s="17" t="s">
        <v>119</v>
      </c>
      <c r="D185" s="5">
        <v>374475</v>
      </c>
      <c r="E185" s="5">
        <v>72200</v>
      </c>
      <c r="F185" s="6">
        <f aca="true" t="shared" si="11" ref="F185:F235">SUM(D185:E185)</f>
        <v>446675</v>
      </c>
      <c r="G185" s="5">
        <v>374475</v>
      </c>
      <c r="H185" s="5">
        <v>72200</v>
      </c>
      <c r="I185" s="6">
        <f aca="true" t="shared" si="12" ref="I185:I193">SUM(G185:H185)</f>
        <v>446675</v>
      </c>
    </row>
    <row r="186" spans="1:9" ht="15">
      <c r="A186" s="15">
        <v>100</v>
      </c>
      <c r="B186" s="15">
        <v>3</v>
      </c>
      <c r="C186" s="17" t="s">
        <v>120</v>
      </c>
      <c r="D186" s="5"/>
      <c r="E186" s="5">
        <v>80000</v>
      </c>
      <c r="F186" s="6">
        <f t="shared" si="11"/>
        <v>80000</v>
      </c>
      <c r="G186" s="5"/>
      <c r="H186" s="5">
        <v>80000</v>
      </c>
      <c r="I186" s="6">
        <f t="shared" si="12"/>
        <v>80000</v>
      </c>
    </row>
    <row r="187" spans="1:9" ht="15">
      <c r="A187" s="15">
        <v>101</v>
      </c>
      <c r="B187" s="15">
        <v>4</v>
      </c>
      <c r="C187" s="10" t="s">
        <v>121</v>
      </c>
      <c r="D187" s="5">
        <v>1206000</v>
      </c>
      <c r="E187" s="5">
        <v>123000</v>
      </c>
      <c r="F187" s="6">
        <f t="shared" si="11"/>
        <v>1329000</v>
      </c>
      <c r="G187" s="5"/>
      <c r="H187" s="5"/>
      <c r="I187" s="6">
        <f t="shared" si="12"/>
        <v>0</v>
      </c>
    </row>
    <row r="188" spans="1:9" ht="15">
      <c r="A188" s="15">
        <v>102</v>
      </c>
      <c r="B188" s="15">
        <v>5</v>
      </c>
      <c r="C188" s="23" t="s">
        <v>122</v>
      </c>
      <c r="D188" s="5"/>
      <c r="E188" s="5"/>
      <c r="F188" s="6">
        <f t="shared" si="11"/>
        <v>0</v>
      </c>
      <c r="G188" s="5"/>
      <c r="H188" s="5"/>
      <c r="I188" s="6">
        <f t="shared" si="12"/>
        <v>0</v>
      </c>
    </row>
    <row r="189" spans="1:9" ht="15">
      <c r="A189" s="15">
        <v>103</v>
      </c>
      <c r="B189" s="15">
        <v>6</v>
      </c>
      <c r="C189" s="23" t="s">
        <v>123</v>
      </c>
      <c r="D189" s="5">
        <v>195500</v>
      </c>
      <c r="E189" s="5">
        <v>350000</v>
      </c>
      <c r="F189" s="6">
        <f t="shared" si="11"/>
        <v>545500</v>
      </c>
      <c r="G189" s="5">
        <v>195300</v>
      </c>
      <c r="H189" s="5">
        <v>340000</v>
      </c>
      <c r="I189" s="6">
        <f t="shared" si="12"/>
        <v>535300</v>
      </c>
    </row>
    <row r="190" spans="1:9" ht="15">
      <c r="A190" s="15">
        <v>104</v>
      </c>
      <c r="B190" s="15">
        <v>7</v>
      </c>
      <c r="C190" s="23" t="s">
        <v>124</v>
      </c>
      <c r="D190" s="5"/>
      <c r="E190" s="5"/>
      <c r="F190" s="6">
        <f t="shared" si="11"/>
        <v>0</v>
      </c>
      <c r="G190" s="5"/>
      <c r="H190" s="5"/>
      <c r="I190" s="6">
        <f t="shared" si="12"/>
        <v>0</v>
      </c>
    </row>
    <row r="191" spans="1:9" ht="15">
      <c r="A191" s="15">
        <v>105</v>
      </c>
      <c r="B191" s="15">
        <v>8</v>
      </c>
      <c r="C191" s="23" t="s">
        <v>125</v>
      </c>
      <c r="D191" s="5"/>
      <c r="E191" s="5"/>
      <c r="F191" s="6">
        <f t="shared" si="11"/>
        <v>0</v>
      </c>
      <c r="G191" s="5"/>
      <c r="H191" s="5"/>
      <c r="I191" s="6">
        <f t="shared" si="12"/>
        <v>0</v>
      </c>
    </row>
    <row r="192" spans="1:9" ht="15">
      <c r="A192" s="15">
        <v>106</v>
      </c>
      <c r="B192" s="15">
        <v>9</v>
      </c>
      <c r="C192" s="23" t="s">
        <v>126</v>
      </c>
      <c r="D192" s="5"/>
      <c r="E192" s="5"/>
      <c r="F192" s="6">
        <f t="shared" si="11"/>
        <v>0</v>
      </c>
      <c r="G192" s="5"/>
      <c r="H192" s="5"/>
      <c r="I192" s="6">
        <f t="shared" si="12"/>
        <v>0</v>
      </c>
    </row>
    <row r="193" spans="1:9" ht="15">
      <c r="A193" s="15">
        <v>107</v>
      </c>
      <c r="B193" s="15">
        <v>10</v>
      </c>
      <c r="C193" s="23" t="s">
        <v>127</v>
      </c>
      <c r="D193" s="5"/>
      <c r="E193" s="5"/>
      <c r="F193" s="6">
        <f t="shared" si="11"/>
        <v>0</v>
      </c>
      <c r="G193" s="5"/>
      <c r="H193" s="5">
        <f>309000+306000+306000</f>
        <v>921000</v>
      </c>
      <c r="I193" s="6">
        <f t="shared" si="12"/>
        <v>921000</v>
      </c>
    </row>
    <row r="194" spans="1:9" ht="15">
      <c r="A194" s="15">
        <v>108</v>
      </c>
      <c r="B194" s="15">
        <v>11</v>
      </c>
      <c r="C194" s="23" t="s">
        <v>129</v>
      </c>
      <c r="D194" s="5"/>
      <c r="E194" s="5">
        <f>300000*4</f>
        <v>1200000</v>
      </c>
      <c r="F194" s="6">
        <f>SUM(D194:E194)</f>
        <v>1200000</v>
      </c>
      <c r="G194" s="5"/>
      <c r="H194" s="5"/>
      <c r="I194" s="6">
        <f>SUM(G194:H194)</f>
        <v>0</v>
      </c>
    </row>
    <row r="195" spans="1:9" ht="15">
      <c r="A195" s="15">
        <v>109</v>
      </c>
      <c r="B195" s="15">
        <v>12</v>
      </c>
      <c r="C195" s="24" t="s">
        <v>128</v>
      </c>
      <c r="D195" s="86"/>
      <c r="E195" s="5">
        <v>400000</v>
      </c>
      <c r="F195" s="6">
        <f>SUM(D195:E195)</f>
        <v>400000</v>
      </c>
      <c r="G195" s="86"/>
      <c r="H195" s="5">
        <v>400000</v>
      </c>
      <c r="I195" s="6">
        <f>SUM(G195:H195)</f>
        <v>400000</v>
      </c>
    </row>
    <row r="196" spans="1:9" ht="15">
      <c r="A196" s="15">
        <v>110</v>
      </c>
      <c r="B196" s="15">
        <v>13</v>
      </c>
      <c r="C196" s="23" t="s">
        <v>130</v>
      </c>
      <c r="D196" s="5"/>
      <c r="E196" s="5"/>
      <c r="F196" s="6">
        <f t="shared" si="11"/>
        <v>0</v>
      </c>
      <c r="G196" s="5"/>
      <c r="H196" s="5"/>
      <c r="I196" s="6">
        <f aca="true" t="shared" si="13" ref="I196:I236">SUM(G196:H196)</f>
        <v>0</v>
      </c>
    </row>
    <row r="197" spans="1:9" ht="15">
      <c r="A197" s="15">
        <v>111</v>
      </c>
      <c r="B197" s="15">
        <v>14</v>
      </c>
      <c r="C197" s="23" t="s">
        <v>131</v>
      </c>
      <c r="D197" s="5"/>
      <c r="E197" s="5"/>
      <c r="F197" s="6">
        <f t="shared" si="11"/>
        <v>0</v>
      </c>
      <c r="G197" s="5">
        <v>550000</v>
      </c>
      <c r="H197" s="5">
        <v>410000</v>
      </c>
      <c r="I197" s="6">
        <f t="shared" si="13"/>
        <v>960000</v>
      </c>
    </row>
    <row r="198" spans="1:9" ht="15">
      <c r="A198" s="15">
        <v>112</v>
      </c>
      <c r="B198" s="15">
        <v>15</v>
      </c>
      <c r="C198" s="23" t="s">
        <v>132</v>
      </c>
      <c r="D198" s="5">
        <v>46000</v>
      </c>
      <c r="E198" s="5"/>
      <c r="F198" s="6">
        <f t="shared" si="11"/>
        <v>46000</v>
      </c>
      <c r="G198" s="5">
        <v>46000</v>
      </c>
      <c r="H198" s="5"/>
      <c r="I198" s="6">
        <f t="shared" si="13"/>
        <v>46000</v>
      </c>
    </row>
    <row r="199" spans="1:9" ht="15">
      <c r="A199" s="15">
        <v>113</v>
      </c>
      <c r="B199" s="15">
        <v>16</v>
      </c>
      <c r="C199" s="23" t="s">
        <v>133</v>
      </c>
      <c r="D199" s="5"/>
      <c r="E199" s="5"/>
      <c r="F199" s="6">
        <f t="shared" si="11"/>
        <v>0</v>
      </c>
      <c r="G199" s="5"/>
      <c r="H199" s="5"/>
      <c r="I199" s="6">
        <f t="shared" si="13"/>
        <v>0</v>
      </c>
    </row>
    <row r="200" spans="1:9" ht="15">
      <c r="A200" s="15">
        <v>114</v>
      </c>
      <c r="B200" s="15">
        <v>17</v>
      </c>
      <c r="C200" s="23" t="s">
        <v>134</v>
      </c>
      <c r="D200" s="5"/>
      <c r="E200" s="5">
        <v>17000</v>
      </c>
      <c r="F200" s="6">
        <f t="shared" si="11"/>
        <v>17000</v>
      </c>
      <c r="G200" s="5"/>
      <c r="H200" s="5">
        <v>17000</v>
      </c>
      <c r="I200" s="6">
        <f t="shared" si="13"/>
        <v>17000</v>
      </c>
    </row>
    <row r="201" spans="1:9" ht="15">
      <c r="A201" s="15">
        <v>115</v>
      </c>
      <c r="B201" s="15">
        <v>18</v>
      </c>
      <c r="C201" s="23" t="s">
        <v>135</v>
      </c>
      <c r="D201" s="5"/>
      <c r="E201" s="5"/>
      <c r="F201" s="6">
        <f t="shared" si="11"/>
        <v>0</v>
      </c>
      <c r="G201" s="5"/>
      <c r="H201" s="5"/>
      <c r="I201" s="6">
        <f t="shared" si="13"/>
        <v>0</v>
      </c>
    </row>
    <row r="202" spans="1:9" ht="15">
      <c r="A202" s="15">
        <v>116</v>
      </c>
      <c r="B202" s="15">
        <v>19</v>
      </c>
      <c r="C202" s="23" t="s">
        <v>136</v>
      </c>
      <c r="D202" s="5"/>
      <c r="E202" s="5"/>
      <c r="F202" s="6">
        <f t="shared" si="11"/>
        <v>0</v>
      </c>
      <c r="G202" s="5"/>
      <c r="H202" s="5">
        <v>187000</v>
      </c>
      <c r="I202" s="6">
        <f t="shared" si="13"/>
        <v>187000</v>
      </c>
    </row>
    <row r="203" spans="1:9" ht="15">
      <c r="A203" s="15">
        <v>117</v>
      </c>
      <c r="B203" s="15">
        <v>20</v>
      </c>
      <c r="C203" s="23" t="s">
        <v>137</v>
      </c>
      <c r="D203" s="5"/>
      <c r="E203" s="5"/>
      <c r="F203" s="6">
        <f t="shared" si="11"/>
        <v>0</v>
      </c>
      <c r="G203" s="5"/>
      <c r="H203" s="5">
        <v>812000</v>
      </c>
      <c r="I203" s="6">
        <f t="shared" si="13"/>
        <v>812000</v>
      </c>
    </row>
    <row r="204" spans="1:9" ht="15">
      <c r="A204" s="15">
        <v>118</v>
      </c>
      <c r="B204" s="15">
        <v>21</v>
      </c>
      <c r="C204" s="23" t="s">
        <v>138</v>
      </c>
      <c r="D204" s="5"/>
      <c r="E204" s="5">
        <v>140000</v>
      </c>
      <c r="F204" s="6">
        <f t="shared" si="11"/>
        <v>140000</v>
      </c>
      <c r="G204" s="5"/>
      <c r="H204" s="5"/>
      <c r="I204" s="6">
        <f t="shared" si="13"/>
        <v>0</v>
      </c>
    </row>
    <row r="205" spans="1:9" ht="15">
      <c r="A205" s="15">
        <v>119</v>
      </c>
      <c r="B205" s="15">
        <v>22</v>
      </c>
      <c r="C205" s="23" t="s">
        <v>139</v>
      </c>
      <c r="D205" s="5"/>
      <c r="E205" s="5">
        <v>170000</v>
      </c>
      <c r="F205" s="6">
        <f t="shared" si="11"/>
        <v>170000</v>
      </c>
      <c r="G205" s="5"/>
      <c r="H205" s="5">
        <v>170000</v>
      </c>
      <c r="I205" s="6">
        <f t="shared" si="13"/>
        <v>170000</v>
      </c>
    </row>
    <row r="206" spans="1:9" ht="15">
      <c r="A206" s="15">
        <v>120</v>
      </c>
      <c r="B206" s="15">
        <v>23</v>
      </c>
      <c r="C206" s="23" t="s">
        <v>140</v>
      </c>
      <c r="D206" s="5"/>
      <c r="E206" s="5"/>
      <c r="F206" s="6">
        <f t="shared" si="11"/>
        <v>0</v>
      </c>
      <c r="G206" s="5"/>
      <c r="H206" s="5"/>
      <c r="I206" s="6">
        <f t="shared" si="13"/>
        <v>0</v>
      </c>
    </row>
    <row r="207" spans="1:9" ht="15">
      <c r="A207" s="15">
        <v>121</v>
      </c>
      <c r="B207" s="15">
        <v>24</v>
      </c>
      <c r="C207" s="23" t="s">
        <v>141</v>
      </c>
      <c r="D207" s="5">
        <v>154000</v>
      </c>
      <c r="E207" s="5">
        <v>695000</v>
      </c>
      <c r="F207" s="6">
        <f t="shared" si="11"/>
        <v>849000</v>
      </c>
      <c r="G207" s="5">
        <v>154000</v>
      </c>
      <c r="H207" s="5">
        <v>695000</v>
      </c>
      <c r="I207" s="6">
        <f t="shared" si="13"/>
        <v>849000</v>
      </c>
    </row>
    <row r="208" spans="1:9" ht="15">
      <c r="A208" s="15">
        <v>122</v>
      </c>
      <c r="B208" s="15">
        <v>25</v>
      </c>
      <c r="C208" s="23" t="s">
        <v>142</v>
      </c>
      <c r="D208" s="5">
        <v>354000</v>
      </c>
      <c r="E208" s="5"/>
      <c r="F208" s="6">
        <f t="shared" si="11"/>
        <v>354000</v>
      </c>
      <c r="G208" s="5">
        <v>496000</v>
      </c>
      <c r="H208" s="5">
        <v>217000</v>
      </c>
      <c r="I208" s="6">
        <f t="shared" si="13"/>
        <v>713000</v>
      </c>
    </row>
    <row r="209" spans="1:9" ht="15">
      <c r="A209" s="15">
        <v>123</v>
      </c>
      <c r="B209" s="15">
        <v>26</v>
      </c>
      <c r="C209" s="23" t="s">
        <v>143</v>
      </c>
      <c r="D209" s="5"/>
      <c r="E209" s="5"/>
      <c r="F209" s="6">
        <f t="shared" si="11"/>
        <v>0</v>
      </c>
      <c r="G209" s="5"/>
      <c r="H209" s="5"/>
      <c r="I209" s="6">
        <f t="shared" si="13"/>
        <v>0</v>
      </c>
    </row>
    <row r="210" spans="1:9" ht="15">
      <c r="A210" s="15">
        <v>124</v>
      </c>
      <c r="B210" s="15">
        <v>27</v>
      </c>
      <c r="C210" s="23" t="s">
        <v>144</v>
      </c>
      <c r="D210" s="5">
        <v>835000</v>
      </c>
      <c r="E210" s="5"/>
      <c r="F210" s="6">
        <f t="shared" si="11"/>
        <v>835000</v>
      </c>
      <c r="G210" s="5">
        <v>1185000</v>
      </c>
      <c r="H210" s="5"/>
      <c r="I210" s="6">
        <f t="shared" si="13"/>
        <v>1185000</v>
      </c>
    </row>
    <row r="211" spans="1:9" ht="15">
      <c r="A211" s="15">
        <v>125</v>
      </c>
      <c r="B211" s="15">
        <v>28</v>
      </c>
      <c r="C211" s="23" t="s">
        <v>145</v>
      </c>
      <c r="D211" s="5"/>
      <c r="E211" s="5"/>
      <c r="F211" s="6">
        <f t="shared" si="11"/>
        <v>0</v>
      </c>
      <c r="G211" s="5"/>
      <c r="H211" s="5"/>
      <c r="I211" s="6">
        <f t="shared" si="13"/>
        <v>0</v>
      </c>
    </row>
    <row r="212" spans="1:9" ht="15">
      <c r="A212" s="15">
        <v>126</v>
      </c>
      <c r="B212" s="15">
        <v>29</v>
      </c>
      <c r="C212" s="23" t="s">
        <v>146</v>
      </c>
      <c r="D212" s="5"/>
      <c r="E212" s="5">
        <v>882000</v>
      </c>
      <c r="F212" s="6">
        <f t="shared" si="11"/>
        <v>882000</v>
      </c>
      <c r="G212" s="5"/>
      <c r="H212" s="5"/>
      <c r="I212" s="6">
        <f t="shared" si="13"/>
        <v>0</v>
      </c>
    </row>
    <row r="213" spans="1:9" ht="15">
      <c r="A213" s="15">
        <v>127</v>
      </c>
      <c r="B213" s="15">
        <v>30</v>
      </c>
      <c r="C213" s="23" t="s">
        <v>147</v>
      </c>
      <c r="D213" s="5"/>
      <c r="E213" s="5"/>
      <c r="F213" s="6">
        <f t="shared" si="11"/>
        <v>0</v>
      </c>
      <c r="G213" s="5"/>
      <c r="H213" s="5"/>
      <c r="I213" s="6">
        <f t="shared" si="13"/>
        <v>0</v>
      </c>
    </row>
    <row r="214" spans="1:9" ht="15">
      <c r="A214" s="15">
        <v>128</v>
      </c>
      <c r="B214" s="15">
        <v>31</v>
      </c>
      <c r="C214" s="23" t="s">
        <v>148</v>
      </c>
      <c r="D214" s="5"/>
      <c r="E214" s="5"/>
      <c r="F214" s="6">
        <f t="shared" si="11"/>
        <v>0</v>
      </c>
      <c r="G214" s="5"/>
      <c r="H214" s="5"/>
      <c r="I214" s="6">
        <f t="shared" si="13"/>
        <v>0</v>
      </c>
    </row>
    <row r="215" spans="1:9" ht="15">
      <c r="A215" s="15">
        <v>129</v>
      </c>
      <c r="B215" s="15">
        <v>32</v>
      </c>
      <c r="C215" s="23" t="s">
        <v>149</v>
      </c>
      <c r="D215" s="5"/>
      <c r="E215" s="5">
        <v>446000</v>
      </c>
      <c r="F215" s="6">
        <f t="shared" si="11"/>
        <v>446000</v>
      </c>
      <c r="G215" s="5"/>
      <c r="H215" s="5">
        <v>110000</v>
      </c>
      <c r="I215" s="6">
        <f t="shared" si="13"/>
        <v>110000</v>
      </c>
    </row>
    <row r="216" spans="1:9" ht="15">
      <c r="A216" s="15">
        <v>130</v>
      </c>
      <c r="B216" s="15">
        <v>33</v>
      </c>
      <c r="C216" s="23" t="s">
        <v>150</v>
      </c>
      <c r="D216" s="5"/>
      <c r="E216" s="5"/>
      <c r="F216" s="6">
        <f t="shared" si="11"/>
        <v>0</v>
      </c>
      <c r="G216" s="5">
        <v>166000</v>
      </c>
      <c r="H216" s="5"/>
      <c r="I216" s="6">
        <f t="shared" si="13"/>
        <v>166000</v>
      </c>
    </row>
    <row r="217" spans="1:9" ht="15">
      <c r="A217" s="15">
        <v>131</v>
      </c>
      <c r="B217" s="15">
        <v>34</v>
      </c>
      <c r="C217" s="23" t="s">
        <v>151</v>
      </c>
      <c r="D217" s="5"/>
      <c r="E217" s="5"/>
      <c r="F217" s="6">
        <f t="shared" si="11"/>
        <v>0</v>
      </c>
      <c r="G217" s="5"/>
      <c r="H217" s="5"/>
      <c r="I217" s="6">
        <f t="shared" si="13"/>
        <v>0</v>
      </c>
    </row>
    <row r="218" spans="1:9" ht="15">
      <c r="A218" s="15">
        <v>132</v>
      </c>
      <c r="B218" s="15">
        <v>35</v>
      </c>
      <c r="C218" s="23" t="s">
        <v>152</v>
      </c>
      <c r="D218" s="5"/>
      <c r="E218" s="5"/>
      <c r="F218" s="6">
        <f t="shared" si="11"/>
        <v>0</v>
      </c>
      <c r="G218" s="5"/>
      <c r="H218" s="5"/>
      <c r="I218" s="6">
        <f t="shared" si="13"/>
        <v>0</v>
      </c>
    </row>
    <row r="219" spans="1:9" ht="15">
      <c r="A219" s="15">
        <v>133</v>
      </c>
      <c r="B219" s="15">
        <v>36</v>
      </c>
      <c r="C219" s="23" t="s">
        <v>153</v>
      </c>
      <c r="D219" s="5"/>
      <c r="E219" s="5"/>
      <c r="F219" s="6">
        <f t="shared" si="11"/>
        <v>0</v>
      </c>
      <c r="G219" s="5"/>
      <c r="H219" s="5"/>
      <c r="I219" s="6">
        <f t="shared" si="13"/>
        <v>0</v>
      </c>
    </row>
    <row r="220" spans="1:9" ht="15">
      <c r="A220" s="15">
        <v>134</v>
      </c>
      <c r="B220" s="15">
        <v>37</v>
      </c>
      <c r="C220" s="23" t="s">
        <v>154</v>
      </c>
      <c r="D220" s="5"/>
      <c r="E220" s="5"/>
      <c r="F220" s="6">
        <f t="shared" si="11"/>
        <v>0</v>
      </c>
      <c r="G220" s="5"/>
      <c r="H220" s="5"/>
      <c r="I220" s="6">
        <f t="shared" si="13"/>
        <v>0</v>
      </c>
    </row>
    <row r="221" spans="1:9" ht="15">
      <c r="A221" s="15">
        <v>135</v>
      </c>
      <c r="B221" s="15">
        <v>38</v>
      </c>
      <c r="C221" s="23" t="s">
        <v>155</v>
      </c>
      <c r="D221" s="5"/>
      <c r="E221" s="5"/>
      <c r="F221" s="6">
        <f t="shared" si="11"/>
        <v>0</v>
      </c>
      <c r="G221" s="5"/>
      <c r="H221" s="5"/>
      <c r="I221" s="6">
        <f t="shared" si="13"/>
        <v>0</v>
      </c>
    </row>
    <row r="222" spans="1:9" ht="15">
      <c r="A222" s="15">
        <v>136</v>
      </c>
      <c r="B222" s="15">
        <v>39</v>
      </c>
      <c r="C222" s="23" t="s">
        <v>156</v>
      </c>
      <c r="D222" s="5"/>
      <c r="E222" s="5"/>
      <c r="F222" s="6">
        <f t="shared" si="11"/>
        <v>0</v>
      </c>
      <c r="G222" s="5"/>
      <c r="H222" s="5">
        <v>320000</v>
      </c>
      <c r="I222" s="6">
        <f t="shared" si="13"/>
        <v>320000</v>
      </c>
    </row>
    <row r="223" spans="1:9" ht="15">
      <c r="A223" s="15">
        <v>137</v>
      </c>
      <c r="B223" s="15">
        <v>40</v>
      </c>
      <c r="C223" s="23" t="s">
        <v>157</v>
      </c>
      <c r="D223" s="5"/>
      <c r="E223" s="5"/>
      <c r="F223" s="6">
        <f t="shared" si="11"/>
        <v>0</v>
      </c>
      <c r="G223" s="5"/>
      <c r="H223" s="5"/>
      <c r="I223" s="6">
        <f t="shared" si="13"/>
        <v>0</v>
      </c>
    </row>
    <row r="224" spans="1:9" ht="15">
      <c r="A224" s="15">
        <v>138</v>
      </c>
      <c r="B224" s="15">
        <v>41</v>
      </c>
      <c r="C224" s="23" t="s">
        <v>158</v>
      </c>
      <c r="D224" s="5"/>
      <c r="E224" s="5"/>
      <c r="F224" s="6">
        <f t="shared" si="11"/>
        <v>0</v>
      </c>
      <c r="G224" s="5"/>
      <c r="H224" s="5"/>
      <c r="I224" s="6">
        <f t="shared" si="13"/>
        <v>0</v>
      </c>
    </row>
    <row r="225" spans="1:9" ht="15">
      <c r="A225" s="15">
        <v>139</v>
      </c>
      <c r="B225" s="15">
        <v>42</v>
      </c>
      <c r="C225" s="23" t="s">
        <v>159</v>
      </c>
      <c r="D225" s="5"/>
      <c r="E225" s="5">
        <v>320000</v>
      </c>
      <c r="F225" s="6">
        <f t="shared" si="11"/>
        <v>320000</v>
      </c>
      <c r="G225" s="5"/>
      <c r="H225" s="5"/>
      <c r="I225" s="6">
        <f t="shared" si="13"/>
        <v>0</v>
      </c>
    </row>
    <row r="226" spans="1:9" ht="15">
      <c r="A226" s="15">
        <v>140</v>
      </c>
      <c r="B226" s="15">
        <v>43</v>
      </c>
      <c r="C226" s="23" t="s">
        <v>160</v>
      </c>
      <c r="D226" s="5"/>
      <c r="E226" s="5"/>
      <c r="F226" s="6">
        <f t="shared" si="11"/>
        <v>0</v>
      </c>
      <c r="G226" s="5">
        <v>365000</v>
      </c>
      <c r="H226" s="5"/>
      <c r="I226" s="6">
        <f t="shared" si="13"/>
        <v>365000</v>
      </c>
    </row>
    <row r="227" spans="1:9" ht="15">
      <c r="A227" s="15">
        <v>141</v>
      </c>
      <c r="B227" s="15">
        <v>44</v>
      </c>
      <c r="C227" s="23" t="s">
        <v>161</v>
      </c>
      <c r="D227" s="5"/>
      <c r="E227" s="5"/>
      <c r="F227" s="6">
        <f t="shared" si="11"/>
        <v>0</v>
      </c>
      <c r="G227" s="5"/>
      <c r="H227" s="5"/>
      <c r="I227" s="6">
        <f t="shared" si="13"/>
        <v>0</v>
      </c>
    </row>
    <row r="228" spans="1:9" ht="15">
      <c r="A228" s="15">
        <v>142</v>
      </c>
      <c r="B228" s="15">
        <v>45</v>
      </c>
      <c r="C228" s="23" t="s">
        <v>246</v>
      </c>
      <c r="D228" s="5"/>
      <c r="E228" s="5"/>
      <c r="F228" s="6">
        <f>SUM(D228:E228)</f>
        <v>0</v>
      </c>
      <c r="G228" s="5"/>
      <c r="H228" s="5"/>
      <c r="I228" s="6">
        <f>SUM(G228:H228)</f>
        <v>0</v>
      </c>
    </row>
    <row r="229" spans="1:9" ht="15">
      <c r="A229" s="15">
        <v>143</v>
      </c>
      <c r="B229" s="15">
        <v>46</v>
      </c>
      <c r="C229" s="23" t="s">
        <v>169</v>
      </c>
      <c r="D229" s="5"/>
      <c r="E229" s="5"/>
      <c r="F229" s="6">
        <f>SUM(D229:E229)</f>
        <v>0</v>
      </c>
      <c r="G229" s="5"/>
      <c r="H229" s="5"/>
      <c r="I229" s="6">
        <f>SUM(G229:H229)</f>
        <v>0</v>
      </c>
    </row>
    <row r="230" spans="1:9" ht="15">
      <c r="A230" s="15">
        <v>144</v>
      </c>
      <c r="B230" s="15">
        <v>47</v>
      </c>
      <c r="C230" s="25" t="s">
        <v>170</v>
      </c>
      <c r="D230" s="5">
        <v>1000000</v>
      </c>
      <c r="E230" s="5"/>
      <c r="F230" s="6">
        <f>SUM(D230:E230)</f>
        <v>1000000</v>
      </c>
      <c r="G230" s="5">
        <v>1000000</v>
      </c>
      <c r="H230" s="5"/>
      <c r="I230" s="6">
        <f>SUM(G230:H230)</f>
        <v>1000000</v>
      </c>
    </row>
    <row r="231" spans="1:9" ht="15">
      <c r="A231" s="15">
        <v>145</v>
      </c>
      <c r="B231" s="15">
        <v>48</v>
      </c>
      <c r="C231" s="23" t="s">
        <v>162</v>
      </c>
      <c r="D231" s="5"/>
      <c r="E231" s="5"/>
      <c r="F231" s="6">
        <f t="shared" si="11"/>
        <v>0</v>
      </c>
      <c r="G231" s="5"/>
      <c r="H231" s="5"/>
      <c r="I231" s="6">
        <f t="shared" si="13"/>
        <v>0</v>
      </c>
    </row>
    <row r="232" spans="1:9" ht="15">
      <c r="A232" s="15">
        <v>146</v>
      </c>
      <c r="B232" s="15">
        <v>49</v>
      </c>
      <c r="C232" s="23" t="s">
        <v>165</v>
      </c>
      <c r="D232" s="5"/>
      <c r="E232" s="5"/>
      <c r="F232" s="6">
        <f t="shared" si="11"/>
        <v>0</v>
      </c>
      <c r="G232" s="5">
        <v>1000000</v>
      </c>
      <c r="H232" s="5"/>
      <c r="I232" s="6">
        <f t="shared" si="13"/>
        <v>1000000</v>
      </c>
    </row>
    <row r="233" spans="1:9" ht="15">
      <c r="A233" s="15">
        <v>147</v>
      </c>
      <c r="B233" s="15">
        <v>50</v>
      </c>
      <c r="C233" s="23" t="s">
        <v>166</v>
      </c>
      <c r="D233" s="5"/>
      <c r="E233" s="5"/>
      <c r="F233" s="6">
        <f t="shared" si="11"/>
        <v>0</v>
      </c>
      <c r="G233" s="5">
        <v>1500000</v>
      </c>
      <c r="H233" s="5"/>
      <c r="I233" s="6">
        <f t="shared" si="13"/>
        <v>1500000</v>
      </c>
    </row>
    <row r="234" spans="1:9" ht="15">
      <c r="A234" s="15">
        <v>148</v>
      </c>
      <c r="B234" s="15">
        <v>51</v>
      </c>
      <c r="C234" s="23" t="s">
        <v>167</v>
      </c>
      <c r="D234" s="5">
        <v>1000000</v>
      </c>
      <c r="E234" s="5"/>
      <c r="F234" s="6">
        <f t="shared" si="11"/>
        <v>1000000</v>
      </c>
      <c r="G234" s="5">
        <v>1000000</v>
      </c>
      <c r="H234" s="5"/>
      <c r="I234" s="6">
        <f t="shared" si="13"/>
        <v>1000000</v>
      </c>
    </row>
    <row r="235" spans="1:9" ht="15">
      <c r="A235" s="15">
        <v>149</v>
      </c>
      <c r="B235" s="15">
        <v>52</v>
      </c>
      <c r="C235" s="23" t="s">
        <v>168</v>
      </c>
      <c r="D235" s="5"/>
      <c r="E235" s="5"/>
      <c r="F235" s="6">
        <f t="shared" si="11"/>
        <v>0</v>
      </c>
      <c r="G235" s="5"/>
      <c r="H235" s="5"/>
      <c r="I235" s="6">
        <f t="shared" si="13"/>
        <v>0</v>
      </c>
    </row>
    <row r="236" spans="1:9" ht="15">
      <c r="A236" s="15">
        <v>150</v>
      </c>
      <c r="B236" s="15">
        <v>53</v>
      </c>
      <c r="C236" s="23" t="s">
        <v>494</v>
      </c>
      <c r="D236" s="5"/>
      <c r="E236" s="5"/>
      <c r="F236" s="6"/>
      <c r="G236" s="5">
        <v>1391000</v>
      </c>
      <c r="H236" s="5"/>
      <c r="I236" s="6">
        <f t="shared" si="13"/>
        <v>1391000</v>
      </c>
    </row>
    <row r="237" spans="1:9" ht="15">
      <c r="A237" s="15">
        <v>151</v>
      </c>
      <c r="B237" s="15">
        <v>54</v>
      </c>
      <c r="C237" s="23" t="s">
        <v>163</v>
      </c>
      <c r="D237" s="5">
        <v>750000</v>
      </c>
      <c r="E237" s="5"/>
      <c r="F237" s="6">
        <f>SUM(D237:E237)</f>
        <v>750000</v>
      </c>
      <c r="G237" s="5">
        <v>750000</v>
      </c>
      <c r="H237" s="5"/>
      <c r="I237" s="6">
        <f>SUM(G237:H237)</f>
        <v>750000</v>
      </c>
    </row>
    <row r="238" spans="1:9" ht="15">
      <c r="A238" s="15">
        <v>152</v>
      </c>
      <c r="B238" s="15">
        <v>55</v>
      </c>
      <c r="C238" s="23" t="s">
        <v>164</v>
      </c>
      <c r="D238" s="5"/>
      <c r="E238" s="5"/>
      <c r="F238" s="6">
        <f>SUM(D238:E238)</f>
        <v>0</v>
      </c>
      <c r="G238" s="5">
        <v>350000</v>
      </c>
      <c r="H238" s="5"/>
      <c r="I238" s="6">
        <f>SUM(G238:H238)</f>
        <v>350000</v>
      </c>
    </row>
    <row r="239" spans="1:9" ht="15">
      <c r="A239" s="15">
        <v>153</v>
      </c>
      <c r="B239" s="15">
        <v>56</v>
      </c>
      <c r="C239" s="23" t="s">
        <v>247</v>
      </c>
      <c r="D239" s="5"/>
      <c r="E239" s="5"/>
      <c r="F239" s="6">
        <f>SUM(D239:E239)</f>
        <v>0</v>
      </c>
      <c r="G239" s="5"/>
      <c r="H239" s="5"/>
      <c r="I239" s="6">
        <f>SUM(G239:H239)</f>
        <v>0</v>
      </c>
    </row>
    <row r="240" spans="1:9" ht="15">
      <c r="A240" s="239" t="s">
        <v>5</v>
      </c>
      <c r="B240" s="239"/>
      <c r="C240" s="239"/>
      <c r="D240" s="7">
        <f>SUM(D184:D239)</f>
        <v>5914975</v>
      </c>
      <c r="E240" s="7">
        <f>SUM(E184:E235)</f>
        <v>5011200</v>
      </c>
      <c r="F240" s="7">
        <f>SUM(D240:E240)</f>
        <v>10926175</v>
      </c>
      <c r="G240" s="7">
        <f>SUM(G184:G239)</f>
        <v>10522775</v>
      </c>
      <c r="H240" s="7">
        <f>SUM(H184:H239)</f>
        <v>4801200</v>
      </c>
      <c r="I240" s="7">
        <f>SUM(G240:H240)</f>
        <v>15323975</v>
      </c>
    </row>
    <row r="241" spans="1:9" ht="15">
      <c r="A241" s="224" t="s">
        <v>171</v>
      </c>
      <c r="B241" s="225"/>
      <c r="C241" s="225"/>
      <c r="D241" s="225"/>
      <c r="E241" s="225"/>
      <c r="F241" s="225"/>
      <c r="G241" s="225"/>
      <c r="H241" s="225"/>
      <c r="I241" s="226"/>
    </row>
    <row r="242" spans="1:9" ht="15">
      <c r="A242" s="15">
        <v>154</v>
      </c>
      <c r="B242" s="15">
        <v>1</v>
      </c>
      <c r="C242" s="20" t="s">
        <v>172</v>
      </c>
      <c r="D242" s="5">
        <v>5648674</v>
      </c>
      <c r="E242" s="5">
        <v>1349500</v>
      </c>
      <c r="F242" s="6">
        <f>SUM(D242:E242)</f>
        <v>6998174</v>
      </c>
      <c r="G242" s="5">
        <v>5731174</v>
      </c>
      <c r="H242" s="5">
        <v>1339500</v>
      </c>
      <c r="I242" s="6">
        <f>SUM(G242:H242)</f>
        <v>7070674</v>
      </c>
    </row>
    <row r="243" spans="1:9" ht="15">
      <c r="A243" s="15">
        <v>155</v>
      </c>
      <c r="B243" s="79">
        <v>2</v>
      </c>
      <c r="C243" s="96" t="s">
        <v>250</v>
      </c>
      <c r="D243" s="5"/>
      <c r="E243" s="5"/>
      <c r="F243" s="6">
        <f>SUM(D243:E243)</f>
        <v>0</v>
      </c>
      <c r="G243" s="5"/>
      <c r="H243" s="5"/>
      <c r="I243" s="6">
        <f>SUM(G243:H243)</f>
        <v>0</v>
      </c>
    </row>
    <row r="244" spans="1:9" ht="15">
      <c r="A244" s="224" t="s">
        <v>42</v>
      </c>
      <c r="B244" s="225"/>
      <c r="C244" s="225"/>
      <c r="D244" s="7">
        <f>D242</f>
        <v>5648674</v>
      </c>
      <c r="E244" s="7">
        <f>E242</f>
        <v>1349500</v>
      </c>
      <c r="F244" s="7">
        <f>SUM(D244:E244)</f>
        <v>6998174</v>
      </c>
      <c r="G244" s="7">
        <f>SUM(G242:G243)</f>
        <v>5731174</v>
      </c>
      <c r="H244" s="7">
        <f>SUM(H242:H243)</f>
        <v>1339500</v>
      </c>
      <c r="I244" s="7">
        <f>SUM(G244:H244)</f>
        <v>7070674</v>
      </c>
    </row>
    <row r="245" spans="1:9" ht="15">
      <c r="A245" s="224" t="s">
        <v>173</v>
      </c>
      <c r="B245" s="225"/>
      <c r="C245" s="225"/>
      <c r="D245" s="225"/>
      <c r="E245" s="225"/>
      <c r="F245" s="225"/>
      <c r="G245" s="225"/>
      <c r="H245" s="225"/>
      <c r="I245" s="226"/>
    </row>
    <row r="246" spans="1:9" ht="15">
      <c r="A246" s="15">
        <v>156</v>
      </c>
      <c r="B246" s="15">
        <v>1</v>
      </c>
      <c r="C246" s="26" t="s">
        <v>174</v>
      </c>
      <c r="D246" s="5"/>
      <c r="E246" s="27"/>
      <c r="F246" s="6">
        <f>SUM(D246:E246)</f>
        <v>0</v>
      </c>
      <c r="G246" s="5"/>
      <c r="H246" s="27"/>
      <c r="I246" s="6">
        <f>SUM(G246:H246)</f>
        <v>0</v>
      </c>
    </row>
    <row r="247" spans="1:9" ht="15">
      <c r="A247" s="15">
        <v>157</v>
      </c>
      <c r="B247" s="15">
        <v>2</v>
      </c>
      <c r="C247" s="28" t="s">
        <v>175</v>
      </c>
      <c r="D247" s="5"/>
      <c r="E247" s="27"/>
      <c r="F247" s="6">
        <f>D247+E247</f>
        <v>0</v>
      </c>
      <c r="G247" s="5">
        <v>2000000</v>
      </c>
      <c r="H247" s="27">
        <f>1500000+1500000</f>
        <v>3000000</v>
      </c>
      <c r="I247" s="6">
        <f>G247+H247</f>
        <v>5000000</v>
      </c>
    </row>
    <row r="248" spans="1:9" ht="15">
      <c r="A248" s="224" t="s">
        <v>42</v>
      </c>
      <c r="B248" s="225"/>
      <c r="C248" s="225"/>
      <c r="D248" s="7">
        <f>SUM(D246:D247)</f>
        <v>0</v>
      </c>
      <c r="E248" s="7">
        <f>SUM(E246:E247)</f>
        <v>0</v>
      </c>
      <c r="F248" s="7">
        <f>SUM(D248:E248)</f>
        <v>0</v>
      </c>
      <c r="G248" s="7">
        <f>SUM(G246:G247)</f>
        <v>2000000</v>
      </c>
      <c r="H248" s="7">
        <f>SUM(H246:H247)</f>
        <v>3000000</v>
      </c>
      <c r="I248" s="7">
        <f>SUM(G248:H248)</f>
        <v>5000000</v>
      </c>
    </row>
    <row r="249" spans="1:9" ht="15">
      <c r="A249" s="224" t="s">
        <v>176</v>
      </c>
      <c r="B249" s="225"/>
      <c r="C249" s="225"/>
      <c r="D249" s="225"/>
      <c r="E249" s="225"/>
      <c r="F249" s="225"/>
      <c r="G249" s="225"/>
      <c r="H249" s="225"/>
      <c r="I249" s="226"/>
    </row>
    <row r="250" spans="1:13" ht="15">
      <c r="A250" s="15">
        <v>158</v>
      </c>
      <c r="B250" s="15">
        <v>1</v>
      </c>
      <c r="C250" s="17" t="s">
        <v>177</v>
      </c>
      <c r="D250" s="5"/>
      <c r="E250" s="5"/>
      <c r="F250" s="6">
        <f>SUM(D250:E250)</f>
        <v>0</v>
      </c>
      <c r="G250" s="5"/>
      <c r="H250" s="5">
        <v>66616200</v>
      </c>
      <c r="I250" s="6">
        <f>SUM(G250:H250)</f>
        <v>66616200</v>
      </c>
      <c r="L250" s="126"/>
      <c r="M250" s="126"/>
    </row>
    <row r="251" spans="1:13" ht="15">
      <c r="A251" s="15">
        <v>159</v>
      </c>
      <c r="B251" s="15">
        <v>2</v>
      </c>
      <c r="C251" s="17" t="s">
        <v>178</v>
      </c>
      <c r="D251" s="5"/>
      <c r="E251" s="5"/>
      <c r="F251" s="6">
        <f aca="true" t="shared" si="14" ref="F251:F258">SUM(D251:E251)</f>
        <v>0</v>
      </c>
      <c r="G251" s="5"/>
      <c r="H251" s="5">
        <v>1991000</v>
      </c>
      <c r="I251" s="6">
        <f aca="true" t="shared" si="15" ref="I251:I258">SUM(G251:H251)</f>
        <v>1991000</v>
      </c>
      <c r="L251" s="16"/>
      <c r="M251" s="100"/>
    </row>
    <row r="252" spans="1:13" ht="15">
      <c r="A252" s="15">
        <v>160</v>
      </c>
      <c r="B252" s="15">
        <v>3</v>
      </c>
      <c r="C252" s="29" t="s">
        <v>179</v>
      </c>
      <c r="D252" s="5"/>
      <c r="E252" s="5"/>
      <c r="F252" s="6">
        <f t="shared" si="14"/>
        <v>0</v>
      </c>
      <c r="G252" s="5"/>
      <c r="H252" s="5"/>
      <c r="I252" s="6">
        <f t="shared" si="15"/>
        <v>0</v>
      </c>
      <c r="L252" s="16"/>
      <c r="M252" s="16"/>
    </row>
    <row r="253" spans="1:13" ht="15">
      <c r="A253" s="15">
        <v>161</v>
      </c>
      <c r="B253" s="15">
        <v>4</v>
      </c>
      <c r="C253" s="29" t="s">
        <v>254</v>
      </c>
      <c r="D253" s="5"/>
      <c r="E253" s="5"/>
      <c r="F253" s="6">
        <f t="shared" si="14"/>
        <v>0</v>
      </c>
      <c r="G253" s="5"/>
      <c r="H253" s="5"/>
      <c r="I253" s="6">
        <f t="shared" si="15"/>
        <v>0</v>
      </c>
      <c r="L253" s="16"/>
      <c r="M253" s="16"/>
    </row>
    <row r="254" spans="1:9" ht="15">
      <c r="A254" s="15">
        <v>162</v>
      </c>
      <c r="B254" s="15">
        <v>5</v>
      </c>
      <c r="C254" s="26" t="s">
        <v>220</v>
      </c>
      <c r="D254" s="5">
        <f>100000+200000+550000</f>
        <v>850000</v>
      </c>
      <c r="E254" s="5">
        <v>200000</v>
      </c>
      <c r="F254" s="6">
        <f t="shared" si="14"/>
        <v>1050000</v>
      </c>
      <c r="G254" s="5"/>
      <c r="H254" s="5"/>
      <c r="I254" s="6">
        <f t="shared" si="15"/>
        <v>0</v>
      </c>
    </row>
    <row r="255" spans="1:9" ht="15">
      <c r="A255" s="15">
        <v>163</v>
      </c>
      <c r="B255" s="15">
        <v>6</v>
      </c>
      <c r="C255" s="26" t="s">
        <v>221</v>
      </c>
      <c r="D255" s="5">
        <f>505000+5355000+5250000</f>
        <v>11110000</v>
      </c>
      <c r="E255" s="5">
        <f>187000+120000</f>
        <v>307000</v>
      </c>
      <c r="F255" s="6">
        <f t="shared" si="14"/>
        <v>11417000</v>
      </c>
      <c r="G255" s="5">
        <f>512000</f>
        <v>512000</v>
      </c>
      <c r="H255" s="5">
        <f>120000</f>
        <v>120000</v>
      </c>
      <c r="I255" s="6">
        <f t="shared" si="15"/>
        <v>632000</v>
      </c>
    </row>
    <row r="256" spans="1:13" ht="15">
      <c r="A256" s="15">
        <v>164</v>
      </c>
      <c r="B256" s="15">
        <v>7</v>
      </c>
      <c r="C256" s="26" t="s">
        <v>222</v>
      </c>
      <c r="D256" s="5"/>
      <c r="E256" s="5"/>
      <c r="F256" s="6">
        <f t="shared" si="14"/>
        <v>0</v>
      </c>
      <c r="G256" s="5"/>
      <c r="H256" s="5"/>
      <c r="I256" s="6">
        <f t="shared" si="15"/>
        <v>0</v>
      </c>
      <c r="K256" s="81"/>
      <c r="L256" s="82"/>
      <c r="M256" s="82"/>
    </row>
    <row r="257" spans="1:9" ht="15">
      <c r="A257" s="15">
        <v>165</v>
      </c>
      <c r="B257" s="15">
        <v>8</v>
      </c>
      <c r="C257" s="26" t="s">
        <v>223</v>
      </c>
      <c r="D257" s="5"/>
      <c r="E257" s="5">
        <v>100000</v>
      </c>
      <c r="F257" s="6">
        <f t="shared" si="14"/>
        <v>100000</v>
      </c>
      <c r="G257" s="5"/>
      <c r="H257" s="5">
        <v>100000</v>
      </c>
      <c r="I257" s="6">
        <f t="shared" si="15"/>
        <v>100000</v>
      </c>
    </row>
    <row r="258" spans="1:13" ht="15">
      <c r="A258" s="15">
        <v>166</v>
      </c>
      <c r="B258" s="15">
        <v>9</v>
      </c>
      <c r="C258" s="26" t="s">
        <v>256</v>
      </c>
      <c r="D258" s="5"/>
      <c r="E258" s="5"/>
      <c r="F258" s="6">
        <f t="shared" si="14"/>
        <v>0</v>
      </c>
      <c r="G258" s="5"/>
      <c r="H258" s="5"/>
      <c r="I258" s="6">
        <f t="shared" si="15"/>
        <v>0</v>
      </c>
      <c r="L258" s="126"/>
      <c r="M258" s="126"/>
    </row>
    <row r="259" spans="1:13" ht="15">
      <c r="A259" s="15">
        <v>167</v>
      </c>
      <c r="B259" s="15">
        <v>10</v>
      </c>
      <c r="C259" s="28" t="s">
        <v>186</v>
      </c>
      <c r="D259" s="5"/>
      <c r="E259" s="5"/>
      <c r="F259" s="6">
        <f>SUM(D259:E259)</f>
        <v>0</v>
      </c>
      <c r="G259" s="5"/>
      <c r="H259" s="5"/>
      <c r="I259" s="6">
        <f>SUM(G259:H259)</f>
        <v>0</v>
      </c>
      <c r="L259" s="16"/>
      <c r="M259" s="16"/>
    </row>
    <row r="260" spans="1:9" ht="15">
      <c r="A260" s="15">
        <v>168</v>
      </c>
      <c r="B260" s="15">
        <v>11</v>
      </c>
      <c r="C260" s="30" t="s">
        <v>185</v>
      </c>
      <c r="D260" s="5">
        <v>220000</v>
      </c>
      <c r="E260" s="5"/>
      <c r="F260" s="6">
        <f aca="true" t="shared" si="16" ref="F260:F280">SUM(D260:E260)</f>
        <v>220000</v>
      </c>
      <c r="G260" s="5">
        <v>250000</v>
      </c>
      <c r="H260" s="5"/>
      <c r="I260" s="6">
        <f aca="true" t="shared" si="17" ref="I260:I280">SUM(G260:H260)</f>
        <v>250000</v>
      </c>
    </row>
    <row r="261" spans="1:13" ht="15">
      <c r="A261" s="15">
        <v>169</v>
      </c>
      <c r="B261" s="15">
        <v>12</v>
      </c>
      <c r="C261" s="32" t="s">
        <v>308</v>
      </c>
      <c r="D261" s="31">
        <v>200000</v>
      </c>
      <c r="E261" s="27"/>
      <c r="F261" s="6">
        <f t="shared" si="16"/>
        <v>200000</v>
      </c>
      <c r="G261" s="31"/>
      <c r="H261" s="27"/>
      <c r="I261" s="6">
        <f t="shared" si="17"/>
        <v>0</v>
      </c>
      <c r="L261" s="16"/>
      <c r="M261" s="16"/>
    </row>
    <row r="262" spans="1:9" ht="15">
      <c r="A262" s="15">
        <v>170</v>
      </c>
      <c r="B262" s="15">
        <v>13</v>
      </c>
      <c r="C262" s="32" t="s">
        <v>309</v>
      </c>
      <c r="D262" s="31">
        <f>65000+35000</f>
        <v>100000</v>
      </c>
      <c r="E262" s="27"/>
      <c r="F262" s="6">
        <f t="shared" si="16"/>
        <v>100000</v>
      </c>
      <c r="G262" s="31"/>
      <c r="H262" s="27"/>
      <c r="I262" s="6">
        <f t="shared" si="17"/>
        <v>0</v>
      </c>
    </row>
    <row r="263" spans="1:9" ht="15">
      <c r="A263" s="15">
        <v>171</v>
      </c>
      <c r="B263" s="15">
        <v>14</v>
      </c>
      <c r="C263" s="32" t="s">
        <v>310</v>
      </c>
      <c r="D263" s="31"/>
      <c r="E263" s="27"/>
      <c r="F263" s="6">
        <f t="shared" si="16"/>
        <v>0</v>
      </c>
      <c r="G263" s="31"/>
      <c r="H263" s="27"/>
      <c r="I263" s="6">
        <f t="shared" si="17"/>
        <v>0</v>
      </c>
    </row>
    <row r="264" spans="1:9" ht="15">
      <c r="A264" s="15">
        <v>172</v>
      </c>
      <c r="B264" s="15">
        <v>15</v>
      </c>
      <c r="C264" s="32" t="s">
        <v>354</v>
      </c>
      <c r="D264" s="31">
        <v>310000</v>
      </c>
      <c r="E264" s="27"/>
      <c r="F264" s="6">
        <f t="shared" si="16"/>
        <v>310000</v>
      </c>
      <c r="G264" s="31"/>
      <c r="H264" s="27"/>
      <c r="I264" s="6">
        <f t="shared" si="17"/>
        <v>0</v>
      </c>
    </row>
    <row r="265" spans="1:9" ht="15">
      <c r="A265" s="15">
        <v>173</v>
      </c>
      <c r="B265" s="15">
        <v>16</v>
      </c>
      <c r="C265" s="32" t="s">
        <v>355</v>
      </c>
      <c r="D265" s="31">
        <v>175000</v>
      </c>
      <c r="E265" s="27"/>
      <c r="F265" s="6">
        <f t="shared" si="16"/>
        <v>175000</v>
      </c>
      <c r="G265" s="31">
        <f>175000+175000</f>
        <v>350000</v>
      </c>
      <c r="H265" s="27"/>
      <c r="I265" s="6">
        <f t="shared" si="17"/>
        <v>350000</v>
      </c>
    </row>
    <row r="266" spans="1:9" ht="15">
      <c r="A266" s="15">
        <v>174</v>
      </c>
      <c r="B266" s="15">
        <v>17</v>
      </c>
      <c r="C266" s="32" t="s">
        <v>356</v>
      </c>
      <c r="D266" s="31"/>
      <c r="E266" s="27"/>
      <c r="F266" s="6">
        <f t="shared" si="16"/>
        <v>0</v>
      </c>
      <c r="G266" s="31"/>
      <c r="H266" s="27"/>
      <c r="I266" s="6">
        <f t="shared" si="17"/>
        <v>0</v>
      </c>
    </row>
    <row r="267" spans="1:9" ht="15">
      <c r="A267" s="15">
        <v>175</v>
      </c>
      <c r="B267" s="15">
        <v>18</v>
      </c>
      <c r="C267" s="32" t="s">
        <v>377</v>
      </c>
      <c r="D267" s="31">
        <f>152000+62000</f>
        <v>214000</v>
      </c>
      <c r="E267" s="27"/>
      <c r="F267" s="6">
        <f t="shared" si="16"/>
        <v>214000</v>
      </c>
      <c r="G267" s="31">
        <v>340000</v>
      </c>
      <c r="H267" s="27"/>
      <c r="I267" s="91">
        <f t="shared" si="17"/>
        <v>340000</v>
      </c>
    </row>
    <row r="268" spans="1:9" ht="15">
      <c r="A268" s="15">
        <v>176</v>
      </c>
      <c r="B268" s="15">
        <v>19</v>
      </c>
      <c r="C268" s="32" t="s">
        <v>382</v>
      </c>
      <c r="D268" s="31"/>
      <c r="E268" s="27"/>
      <c r="F268" s="6">
        <f t="shared" si="16"/>
        <v>0</v>
      </c>
      <c r="G268" s="31"/>
      <c r="H268" s="27"/>
      <c r="I268" s="91">
        <f t="shared" si="17"/>
        <v>0</v>
      </c>
    </row>
    <row r="269" spans="1:9" ht="15">
      <c r="A269" s="15">
        <v>177</v>
      </c>
      <c r="B269" s="15">
        <v>20</v>
      </c>
      <c r="C269" s="32" t="s">
        <v>383</v>
      </c>
      <c r="D269" s="31"/>
      <c r="E269" s="27"/>
      <c r="F269" s="6">
        <f t="shared" si="16"/>
        <v>0</v>
      </c>
      <c r="G269" s="31"/>
      <c r="H269" s="27"/>
      <c r="I269" s="91">
        <f t="shared" si="17"/>
        <v>0</v>
      </c>
    </row>
    <row r="270" spans="1:9" ht="15">
      <c r="A270" s="15">
        <v>178</v>
      </c>
      <c r="B270" s="15">
        <v>21</v>
      </c>
      <c r="C270" s="32" t="s">
        <v>408</v>
      </c>
      <c r="D270" s="31">
        <v>100000</v>
      </c>
      <c r="E270" s="27"/>
      <c r="F270" s="6">
        <f t="shared" si="16"/>
        <v>100000</v>
      </c>
      <c r="G270" s="31"/>
      <c r="H270" s="27"/>
      <c r="I270" s="91">
        <f t="shared" si="17"/>
        <v>0</v>
      </c>
    </row>
    <row r="271" spans="1:9" ht="15">
      <c r="A271" s="15">
        <v>179</v>
      </c>
      <c r="B271" s="15">
        <v>22</v>
      </c>
      <c r="C271" s="32" t="s">
        <v>409</v>
      </c>
      <c r="D271" s="31">
        <v>1500000</v>
      </c>
      <c r="E271" s="27"/>
      <c r="F271" s="6">
        <f t="shared" si="16"/>
        <v>1500000</v>
      </c>
      <c r="G271" s="31"/>
      <c r="H271" s="27"/>
      <c r="I271" s="91">
        <f t="shared" si="17"/>
        <v>0</v>
      </c>
    </row>
    <row r="272" spans="1:9" ht="15">
      <c r="A272" s="15">
        <v>180</v>
      </c>
      <c r="B272" s="15">
        <v>23</v>
      </c>
      <c r="C272" s="32" t="s">
        <v>410</v>
      </c>
      <c r="D272" s="31">
        <v>1500000</v>
      </c>
      <c r="E272" s="27"/>
      <c r="F272" s="6">
        <f t="shared" si="16"/>
        <v>1500000</v>
      </c>
      <c r="G272" s="31"/>
      <c r="H272" s="27"/>
      <c r="I272" s="91">
        <f t="shared" si="17"/>
        <v>0</v>
      </c>
    </row>
    <row r="273" spans="1:9" ht="15">
      <c r="A273" s="15">
        <v>181</v>
      </c>
      <c r="B273" s="15">
        <v>24</v>
      </c>
      <c r="C273" s="32" t="s">
        <v>411</v>
      </c>
      <c r="D273" s="31">
        <v>1750000</v>
      </c>
      <c r="E273" s="27"/>
      <c r="F273" s="6">
        <f t="shared" si="16"/>
        <v>1750000</v>
      </c>
      <c r="G273" s="31"/>
      <c r="H273" s="27"/>
      <c r="I273" s="91">
        <f t="shared" si="17"/>
        <v>0</v>
      </c>
    </row>
    <row r="274" spans="1:9" ht="15">
      <c r="A274" s="15">
        <v>182</v>
      </c>
      <c r="B274" s="15">
        <v>25</v>
      </c>
      <c r="C274" s="32" t="s">
        <v>412</v>
      </c>
      <c r="D274" s="31"/>
      <c r="E274" s="27">
        <v>100000</v>
      </c>
      <c r="F274" s="6">
        <f t="shared" si="16"/>
        <v>100000</v>
      </c>
      <c r="G274" s="31"/>
      <c r="H274" s="27"/>
      <c r="I274" s="91">
        <f t="shared" si="17"/>
        <v>0</v>
      </c>
    </row>
    <row r="275" spans="1:9" ht="15">
      <c r="A275" s="15">
        <v>183</v>
      </c>
      <c r="B275" s="15">
        <v>26</v>
      </c>
      <c r="C275" s="32" t="s">
        <v>413</v>
      </c>
      <c r="D275" s="31">
        <f>76000*4</f>
        <v>304000</v>
      </c>
      <c r="E275" s="27"/>
      <c r="F275" s="6">
        <f t="shared" si="16"/>
        <v>304000</v>
      </c>
      <c r="G275" s="31"/>
      <c r="H275" s="27"/>
      <c r="I275" s="91">
        <f t="shared" si="17"/>
        <v>0</v>
      </c>
    </row>
    <row r="276" spans="1:9" ht="15">
      <c r="A276" s="15">
        <v>184</v>
      </c>
      <c r="B276" s="15">
        <v>27</v>
      </c>
      <c r="C276" s="32" t="s">
        <v>493</v>
      </c>
      <c r="D276" s="31"/>
      <c r="E276" s="27"/>
      <c r="F276" s="6">
        <f t="shared" si="16"/>
        <v>0</v>
      </c>
      <c r="G276" s="31">
        <v>250000</v>
      </c>
      <c r="H276" s="27"/>
      <c r="I276" s="91">
        <f t="shared" si="17"/>
        <v>250000</v>
      </c>
    </row>
    <row r="277" spans="1:9" ht="15">
      <c r="A277" s="15">
        <v>185</v>
      </c>
      <c r="B277" s="15">
        <v>28</v>
      </c>
      <c r="C277" s="32" t="s">
        <v>495</v>
      </c>
      <c r="D277" s="31"/>
      <c r="E277" s="27"/>
      <c r="F277" s="6">
        <f t="shared" si="16"/>
        <v>0</v>
      </c>
      <c r="G277" s="31">
        <v>1350000</v>
      </c>
      <c r="H277" s="27"/>
      <c r="I277" s="91">
        <f t="shared" si="17"/>
        <v>1350000</v>
      </c>
    </row>
    <row r="278" spans="1:9" ht="15">
      <c r="A278" s="15">
        <v>186</v>
      </c>
      <c r="B278" s="15">
        <v>29</v>
      </c>
      <c r="C278" s="32" t="s">
        <v>497</v>
      </c>
      <c r="D278" s="31"/>
      <c r="E278" s="27"/>
      <c r="F278" s="6">
        <f t="shared" si="16"/>
        <v>0</v>
      </c>
      <c r="G278" s="31">
        <v>125000</v>
      </c>
      <c r="H278" s="27"/>
      <c r="I278" s="91">
        <f t="shared" si="17"/>
        <v>125000</v>
      </c>
    </row>
    <row r="279" spans="1:9" ht="15">
      <c r="A279" s="15">
        <v>187</v>
      </c>
      <c r="B279" s="15">
        <v>30</v>
      </c>
      <c r="C279" s="32" t="s">
        <v>496</v>
      </c>
      <c r="D279" s="31"/>
      <c r="E279" s="27"/>
      <c r="F279" s="6">
        <f t="shared" si="16"/>
        <v>0</v>
      </c>
      <c r="G279" s="31">
        <v>650000</v>
      </c>
      <c r="H279" s="27"/>
      <c r="I279" s="91">
        <f t="shared" si="17"/>
        <v>650000</v>
      </c>
    </row>
    <row r="280" spans="1:9" ht="15">
      <c r="A280" s="15">
        <v>188</v>
      </c>
      <c r="B280" s="15">
        <v>31</v>
      </c>
      <c r="C280" s="32" t="s">
        <v>498</v>
      </c>
      <c r="D280" s="31"/>
      <c r="E280" s="27"/>
      <c r="F280" s="6">
        <f t="shared" si="16"/>
        <v>0</v>
      </c>
      <c r="G280" s="31"/>
      <c r="H280" s="27">
        <v>100000</v>
      </c>
      <c r="I280" s="91">
        <f t="shared" si="17"/>
        <v>100000</v>
      </c>
    </row>
    <row r="281" spans="1:9" ht="15.75" thickBot="1">
      <c r="A281" s="253" t="s">
        <v>42</v>
      </c>
      <c r="B281" s="254"/>
      <c r="C281" s="255"/>
      <c r="D281" s="33">
        <f>SUM(D250:D280)</f>
        <v>18333000</v>
      </c>
      <c r="E281" s="33">
        <f>SUM(E250:E280)</f>
        <v>707000</v>
      </c>
      <c r="F281" s="33">
        <f>SUM(D281:E281)</f>
        <v>19040000</v>
      </c>
      <c r="G281" s="33">
        <f>SUM(G250:G280)</f>
        <v>3827000</v>
      </c>
      <c r="H281" s="33">
        <f>SUM(H250:H280)</f>
        <v>68927200</v>
      </c>
      <c r="I281" s="33">
        <f>SUM(G281:H281)</f>
        <v>72754200</v>
      </c>
    </row>
    <row r="282" spans="1:9" ht="16.5" thickBot="1" thickTop="1">
      <c r="A282" s="237" t="s">
        <v>190</v>
      </c>
      <c r="B282" s="238"/>
      <c r="C282" s="238"/>
      <c r="D282" s="34">
        <f>D281+D248+D244+D240+D182+D157+D135+D113+D110+D107+D84+D74+D71</f>
        <v>102341507</v>
      </c>
      <c r="E282" s="34">
        <f>E281+E248+E244+E240+E182+E157+E135+E113+E110+E107+E84+E74+E71</f>
        <v>44114623</v>
      </c>
      <c r="F282" s="34">
        <f>SUM(D282:E282)</f>
        <v>146456130</v>
      </c>
      <c r="G282" s="34">
        <f>G281+G248+G244+G240+G182+G157+G135+G113+G110+G107+G84+G74+G71</f>
        <v>94010210</v>
      </c>
      <c r="H282" s="34">
        <f>H281+H248+H244+H240+H182+H157+H135+H113+H110+H107+H84+H74+H71</f>
        <v>113514993</v>
      </c>
      <c r="I282" s="34">
        <f>SUM(G282:H282)</f>
        <v>207525203</v>
      </c>
    </row>
    <row r="283" spans="1:10" ht="15.75" thickTop="1">
      <c r="A283" s="35"/>
      <c r="B283" s="35"/>
      <c r="C283" s="35"/>
      <c r="D283" s="36"/>
      <c r="E283" s="36"/>
      <c r="F283" s="36"/>
      <c r="G283" s="36"/>
      <c r="H283" s="36"/>
      <c r="I283" s="36"/>
      <c r="J283" s="37"/>
    </row>
    <row r="284" spans="1:9" ht="15">
      <c r="A284" s="39"/>
      <c r="B284" s="39"/>
      <c r="C284" s="39"/>
      <c r="D284" s="38"/>
      <c r="E284" s="38"/>
      <c r="F284" s="240" t="s">
        <v>513</v>
      </c>
      <c r="G284" s="240"/>
      <c r="H284" s="240"/>
      <c r="I284" s="240"/>
    </row>
    <row r="285" spans="1:9" ht="15">
      <c r="A285" s="39"/>
      <c r="B285" s="39"/>
      <c r="C285" s="38" t="s">
        <v>199</v>
      </c>
      <c r="D285" s="38"/>
      <c r="E285" s="38"/>
      <c r="F285" s="240" t="s">
        <v>349</v>
      </c>
      <c r="G285" s="240"/>
      <c r="H285" s="240"/>
      <c r="I285" s="240"/>
    </row>
    <row r="286" spans="1:8" ht="15">
      <c r="A286" s="39"/>
      <c r="B286" s="39"/>
      <c r="C286" s="39"/>
      <c r="D286" s="39"/>
      <c r="E286" s="39"/>
      <c r="G286" s="39"/>
      <c r="H286" s="39"/>
    </row>
    <row r="287" spans="1:8" ht="15">
      <c r="A287" s="39"/>
      <c r="B287" s="61"/>
      <c r="C287" s="272" t="s">
        <v>866</v>
      </c>
      <c r="D287" s="39"/>
      <c r="E287" s="39"/>
      <c r="G287" s="270" t="s">
        <v>866</v>
      </c>
      <c r="H287" s="39"/>
    </row>
    <row r="288" spans="1:9" ht="15">
      <c r="A288" s="39"/>
      <c r="B288" s="61"/>
      <c r="C288" s="38" t="s">
        <v>269</v>
      </c>
      <c r="D288" s="62"/>
      <c r="E288" s="62"/>
      <c r="F288" s="240" t="s">
        <v>350</v>
      </c>
      <c r="G288" s="240"/>
      <c r="H288" s="240"/>
      <c r="I288" s="240"/>
    </row>
    <row r="289" spans="1:12" ht="15">
      <c r="A289" s="35"/>
      <c r="B289" s="35"/>
      <c r="C289" s="35"/>
      <c r="D289" s="36"/>
      <c r="E289" s="36"/>
      <c r="F289" s="36"/>
      <c r="G289" s="36"/>
      <c r="H289" s="36"/>
      <c r="I289" s="36"/>
      <c r="J289" s="37"/>
      <c r="L289" s="16"/>
    </row>
    <row r="290" spans="1:9" ht="15">
      <c r="A290" s="240" t="s">
        <v>191</v>
      </c>
      <c r="B290" s="240"/>
      <c r="C290" s="240"/>
      <c r="D290" s="240"/>
      <c r="E290" s="240"/>
      <c r="F290" s="240"/>
      <c r="G290" s="240"/>
      <c r="H290" s="240"/>
      <c r="I290" s="240"/>
    </row>
    <row r="291" spans="1:9" ht="15">
      <c r="A291" s="240" t="s">
        <v>499</v>
      </c>
      <c r="B291" s="240"/>
      <c r="C291" s="240"/>
      <c r="D291" s="240"/>
      <c r="E291" s="240"/>
      <c r="F291" s="240"/>
      <c r="G291" s="240"/>
      <c r="H291" s="240"/>
      <c r="I291" s="240"/>
    </row>
    <row r="292" spans="1:9" ht="15">
      <c r="A292" s="38" t="s">
        <v>192</v>
      </c>
      <c r="B292" s="72" t="s">
        <v>195</v>
      </c>
      <c r="C292" s="38"/>
      <c r="D292" s="38"/>
      <c r="E292" s="38"/>
      <c r="F292" s="38"/>
      <c r="G292" s="38"/>
      <c r="H292" s="38"/>
      <c r="I292" s="38"/>
    </row>
    <row r="293" spans="1:9" ht="15">
      <c r="A293" s="40"/>
      <c r="B293" s="243" t="s">
        <v>2</v>
      </c>
      <c r="C293" s="247" t="s">
        <v>193</v>
      </c>
      <c r="D293" s="248"/>
      <c r="E293" s="248"/>
      <c r="F293" s="248"/>
      <c r="G293" s="248"/>
      <c r="H293" s="249"/>
      <c r="I293" s="85" t="s">
        <v>42</v>
      </c>
    </row>
    <row r="294" spans="1:9" ht="15">
      <c r="A294" s="39"/>
      <c r="B294" s="244"/>
      <c r="C294" s="250"/>
      <c r="D294" s="251"/>
      <c r="E294" s="251"/>
      <c r="F294" s="251"/>
      <c r="G294" s="251"/>
      <c r="H294" s="252"/>
      <c r="I294" s="84" t="s">
        <v>194</v>
      </c>
    </row>
    <row r="295" spans="1:9" ht="15">
      <c r="A295" s="39"/>
      <c r="B295" s="70">
        <v>1</v>
      </c>
      <c r="C295" s="45" t="s">
        <v>339</v>
      </c>
      <c r="D295" s="60"/>
      <c r="E295" s="60"/>
      <c r="F295" s="69"/>
      <c r="G295" s="60"/>
      <c r="H295" s="60"/>
      <c r="I295" s="59"/>
    </row>
    <row r="296" spans="1:9" ht="15">
      <c r="A296" s="39"/>
      <c r="B296" s="70"/>
      <c r="C296" s="45" t="s">
        <v>502</v>
      </c>
      <c r="D296" s="60"/>
      <c r="E296" s="60"/>
      <c r="F296" s="69"/>
      <c r="G296" s="60"/>
      <c r="H296" s="60"/>
      <c r="I296" s="99">
        <v>6565900</v>
      </c>
    </row>
    <row r="297" spans="1:9" ht="15">
      <c r="A297" s="39"/>
      <c r="B297" s="70">
        <v>2</v>
      </c>
      <c r="C297" s="45" t="s">
        <v>429</v>
      </c>
      <c r="D297" s="60"/>
      <c r="E297" s="60"/>
      <c r="F297" s="69"/>
      <c r="G297" s="60"/>
      <c r="H297" s="60"/>
      <c r="I297" s="99"/>
    </row>
    <row r="298" spans="1:9" ht="15">
      <c r="A298" s="39"/>
      <c r="B298" s="70"/>
      <c r="C298" s="45" t="s">
        <v>551</v>
      </c>
      <c r="D298" s="60"/>
      <c r="E298" s="60"/>
      <c r="F298" s="69"/>
      <c r="G298" s="60"/>
      <c r="H298" s="60"/>
      <c r="I298" s="99">
        <v>5000000</v>
      </c>
    </row>
    <row r="299" spans="1:10" ht="15">
      <c r="A299" s="39"/>
      <c r="B299" s="70"/>
      <c r="C299" s="45" t="s">
        <v>878</v>
      </c>
      <c r="D299" s="60"/>
      <c r="E299" s="60"/>
      <c r="F299" s="69"/>
      <c r="G299" s="60"/>
      <c r="H299" s="60"/>
      <c r="I299" s="99">
        <v>150000000</v>
      </c>
      <c r="J299" s="88"/>
    </row>
    <row r="300" spans="1:10" ht="15">
      <c r="A300" s="39"/>
      <c r="B300" s="70">
        <v>3</v>
      </c>
      <c r="C300" s="103" t="s">
        <v>504</v>
      </c>
      <c r="D300" s="60"/>
      <c r="E300" s="60"/>
      <c r="F300" s="69"/>
      <c r="G300" s="60"/>
      <c r="H300" s="60"/>
      <c r="I300" s="99"/>
      <c r="J300" s="88"/>
    </row>
    <row r="301" spans="1:9" ht="15">
      <c r="A301" s="39"/>
      <c r="B301" s="70"/>
      <c r="C301" s="109" t="s">
        <v>552</v>
      </c>
      <c r="D301" s="60"/>
      <c r="E301" s="60"/>
      <c r="F301" s="69"/>
      <c r="G301" s="60"/>
      <c r="H301" s="60"/>
      <c r="I301" s="99">
        <v>1000000</v>
      </c>
    </row>
    <row r="302" spans="1:9" ht="15">
      <c r="A302" s="39"/>
      <c r="B302" s="70">
        <v>4</v>
      </c>
      <c r="C302" s="45" t="s">
        <v>505</v>
      </c>
      <c r="D302" s="60"/>
      <c r="E302" s="60"/>
      <c r="F302" s="69"/>
      <c r="G302" s="60"/>
      <c r="H302" s="60"/>
      <c r="I302" s="99"/>
    </row>
    <row r="303" spans="1:9" ht="15">
      <c r="A303" s="39"/>
      <c r="B303" s="70"/>
      <c r="C303" s="45" t="s">
        <v>879</v>
      </c>
      <c r="D303" s="60"/>
      <c r="E303" s="60"/>
      <c r="F303" s="69"/>
      <c r="G303" s="60"/>
      <c r="H303" s="60"/>
      <c r="I303" s="99">
        <v>17500000</v>
      </c>
    </row>
    <row r="304" spans="1:9" ht="15">
      <c r="A304" s="39"/>
      <c r="B304" s="41"/>
      <c r="C304" s="45" t="s">
        <v>506</v>
      </c>
      <c r="D304" s="42"/>
      <c r="E304" s="42"/>
      <c r="F304" s="63"/>
      <c r="G304" s="42"/>
      <c r="H304" s="42"/>
      <c r="I304" s="92">
        <v>1500000</v>
      </c>
    </row>
    <row r="305" spans="1:9" ht="15">
      <c r="A305" s="39"/>
      <c r="B305" s="41"/>
      <c r="C305" s="45" t="s">
        <v>510</v>
      </c>
      <c r="D305" s="42"/>
      <c r="E305" s="42"/>
      <c r="F305" s="63"/>
      <c r="G305" s="42"/>
      <c r="H305" s="42"/>
      <c r="I305" s="92">
        <v>500000</v>
      </c>
    </row>
    <row r="306" spans="1:9" ht="15">
      <c r="A306" s="39"/>
      <c r="B306" s="41"/>
      <c r="C306" s="45" t="s">
        <v>511</v>
      </c>
      <c r="D306" s="42"/>
      <c r="E306" s="42"/>
      <c r="F306" s="63"/>
      <c r="G306" s="42"/>
      <c r="H306" s="42"/>
      <c r="I306" s="92">
        <v>500000</v>
      </c>
    </row>
    <row r="307" spans="1:9" ht="15">
      <c r="A307" s="39"/>
      <c r="B307" s="41">
        <v>5</v>
      </c>
      <c r="C307" s="45" t="s">
        <v>512</v>
      </c>
      <c r="D307" s="42"/>
      <c r="E307" s="42"/>
      <c r="F307" s="63"/>
      <c r="G307" s="42"/>
      <c r="H307" s="42"/>
      <c r="I307" s="92">
        <v>2398500</v>
      </c>
    </row>
    <row r="308" spans="1:9" ht="15">
      <c r="A308" s="39"/>
      <c r="B308" s="41">
        <v>6</v>
      </c>
      <c r="C308" s="55" t="s">
        <v>360</v>
      </c>
      <c r="D308" s="52"/>
      <c r="E308" s="52"/>
      <c r="F308" s="63"/>
      <c r="G308" s="52"/>
      <c r="H308" s="53"/>
      <c r="I308" s="92">
        <v>20000</v>
      </c>
    </row>
    <row r="309" spans="1:9" ht="15">
      <c r="A309" s="56"/>
      <c r="B309" s="241" t="s">
        <v>5</v>
      </c>
      <c r="C309" s="245"/>
      <c r="D309" s="245"/>
      <c r="E309" s="245"/>
      <c r="F309" s="66"/>
      <c r="G309" s="66"/>
      <c r="H309" s="67"/>
      <c r="I309" s="57">
        <f>SUM(I295:I308)</f>
        <v>184984400</v>
      </c>
    </row>
    <row r="310" spans="1:9" ht="15">
      <c r="A310" s="58"/>
      <c r="B310" s="58"/>
      <c r="C310" s="58"/>
      <c r="D310" s="58"/>
      <c r="E310" s="58"/>
      <c r="F310" s="58"/>
      <c r="G310" s="73"/>
      <c r="H310" s="73"/>
      <c r="I310" s="58"/>
    </row>
    <row r="311" spans="1:9" ht="15">
      <c r="A311" s="74" t="s">
        <v>196</v>
      </c>
      <c r="B311" s="75" t="s">
        <v>197</v>
      </c>
      <c r="C311" s="75"/>
      <c r="D311" s="58"/>
      <c r="E311" s="58"/>
      <c r="F311" s="58"/>
      <c r="G311" s="58"/>
      <c r="H311" s="58"/>
      <c r="I311" s="58"/>
    </row>
    <row r="312" spans="1:9" ht="15">
      <c r="A312" s="40"/>
      <c r="B312" s="243" t="s">
        <v>2</v>
      </c>
      <c r="C312" s="248" t="s">
        <v>193</v>
      </c>
      <c r="D312" s="248"/>
      <c r="E312" s="248"/>
      <c r="F312" s="248"/>
      <c r="G312" s="248"/>
      <c r="H312" s="249"/>
      <c r="I312" s="85" t="s">
        <v>42</v>
      </c>
    </row>
    <row r="313" spans="1:9" ht="15">
      <c r="A313" s="58"/>
      <c r="B313" s="244"/>
      <c r="C313" s="251"/>
      <c r="D313" s="251"/>
      <c r="E313" s="251"/>
      <c r="F313" s="251"/>
      <c r="G313" s="251"/>
      <c r="H313" s="252"/>
      <c r="I313" s="84" t="s">
        <v>194</v>
      </c>
    </row>
    <row r="314" spans="1:9" ht="15">
      <c r="A314" s="58"/>
      <c r="B314" s="70">
        <v>1</v>
      </c>
      <c r="C314" s="45" t="s">
        <v>339</v>
      </c>
      <c r="D314" s="42"/>
      <c r="E314" s="42"/>
      <c r="F314" s="69"/>
      <c r="G314" s="42"/>
      <c r="H314" s="42"/>
      <c r="I314" s="99"/>
    </row>
    <row r="315" spans="1:10" ht="15">
      <c r="A315" s="58"/>
      <c r="B315" s="70"/>
      <c r="C315" s="45" t="s">
        <v>500</v>
      </c>
      <c r="D315" s="42"/>
      <c r="E315" s="42"/>
      <c r="F315" s="69"/>
      <c r="G315" s="42"/>
      <c r="H315" s="42"/>
      <c r="I315" s="106">
        <f>1725188</f>
        <v>1725188</v>
      </c>
      <c r="J315" s="88"/>
    </row>
    <row r="316" spans="1:10" ht="15">
      <c r="A316" s="58"/>
      <c r="B316" s="70"/>
      <c r="C316" s="45" t="s">
        <v>362</v>
      </c>
      <c r="D316" s="42"/>
      <c r="E316" s="42"/>
      <c r="F316" s="69"/>
      <c r="G316" s="42"/>
      <c r="H316" s="42"/>
      <c r="I316" s="99">
        <v>406800</v>
      </c>
      <c r="J316" s="88"/>
    </row>
    <row r="317" spans="1:10" ht="15">
      <c r="A317" s="58"/>
      <c r="B317" s="70">
        <v>2</v>
      </c>
      <c r="C317" s="45" t="s">
        <v>390</v>
      </c>
      <c r="D317" s="60"/>
      <c r="E317" s="60"/>
      <c r="F317" s="69"/>
      <c r="G317" s="60"/>
      <c r="H317" s="60"/>
      <c r="I317" s="99"/>
      <c r="J317" s="88"/>
    </row>
    <row r="318" spans="1:10" ht="15">
      <c r="A318" s="58"/>
      <c r="B318" s="70"/>
      <c r="C318" s="45" t="s">
        <v>503</v>
      </c>
      <c r="D318" s="60"/>
      <c r="E318" s="60"/>
      <c r="F318" s="69"/>
      <c r="G318" s="60"/>
      <c r="H318" s="60"/>
      <c r="I318" s="99">
        <v>500000</v>
      </c>
      <c r="J318" s="88"/>
    </row>
    <row r="319" spans="1:10" ht="15">
      <c r="A319" s="58"/>
      <c r="B319" s="70"/>
      <c r="C319" s="45" t="s">
        <v>880</v>
      </c>
      <c r="D319" s="60"/>
      <c r="E319" s="60"/>
      <c r="F319" s="69"/>
      <c r="G319" s="60"/>
      <c r="H319" s="60"/>
      <c r="I319" s="99">
        <v>1000000</v>
      </c>
      <c r="J319" s="88"/>
    </row>
    <row r="320" spans="1:10" ht="15">
      <c r="A320" s="58"/>
      <c r="B320" s="70"/>
      <c r="C320" s="45" t="s">
        <v>507</v>
      </c>
      <c r="D320" s="60"/>
      <c r="E320" s="60"/>
      <c r="F320" s="69"/>
      <c r="G320" s="60"/>
      <c r="H320" s="60"/>
      <c r="I320" s="99">
        <v>1000000</v>
      </c>
      <c r="J320" s="88"/>
    </row>
    <row r="321" spans="1:10" ht="15">
      <c r="A321" s="58"/>
      <c r="B321" s="70"/>
      <c r="C321" s="45" t="s">
        <v>508</v>
      </c>
      <c r="D321" s="60"/>
      <c r="E321" s="60"/>
      <c r="F321" s="69"/>
      <c r="G321" s="60"/>
      <c r="H321" s="60"/>
      <c r="I321" s="99">
        <v>1000000</v>
      </c>
      <c r="J321" s="88"/>
    </row>
    <row r="322" spans="1:10" ht="15">
      <c r="A322" s="58"/>
      <c r="B322" s="70">
        <v>3</v>
      </c>
      <c r="C322" s="45" t="s">
        <v>509</v>
      </c>
      <c r="D322" s="60"/>
      <c r="E322" s="60"/>
      <c r="F322" s="69"/>
      <c r="G322" s="60"/>
      <c r="H322" s="60"/>
      <c r="I322" s="99"/>
      <c r="J322" s="88"/>
    </row>
    <row r="323" spans="1:10" ht="15">
      <c r="A323" s="58"/>
      <c r="B323" s="70"/>
      <c r="C323" s="45" t="s">
        <v>881</v>
      </c>
      <c r="D323" s="60"/>
      <c r="E323" s="60"/>
      <c r="F323" s="69"/>
      <c r="G323" s="60"/>
      <c r="H323" s="60"/>
      <c r="I323" s="99">
        <v>1647274</v>
      </c>
      <c r="J323" s="88"/>
    </row>
    <row r="324" spans="1:10" ht="15">
      <c r="A324" s="58"/>
      <c r="B324" s="70">
        <v>4</v>
      </c>
      <c r="C324" s="89" t="s">
        <v>232</v>
      </c>
      <c r="D324" s="60"/>
      <c r="E324" s="60"/>
      <c r="F324" s="69"/>
      <c r="G324" s="60"/>
      <c r="H324" s="60"/>
      <c r="I324" s="99">
        <f>435000-400000</f>
        <v>35000</v>
      </c>
      <c r="J324" s="88"/>
    </row>
    <row r="325" spans="1:10" ht="15">
      <c r="A325" s="58"/>
      <c r="B325" s="70">
        <v>5</v>
      </c>
      <c r="C325" s="110" t="s">
        <v>563</v>
      </c>
      <c r="D325" s="60"/>
      <c r="E325" s="60"/>
      <c r="F325" s="69"/>
      <c r="G325" s="60"/>
      <c r="H325" s="60"/>
      <c r="I325" s="99">
        <v>1991000</v>
      </c>
      <c r="J325" s="88"/>
    </row>
    <row r="326" spans="1:9" ht="15">
      <c r="A326" s="56"/>
      <c r="B326" s="241" t="s">
        <v>5</v>
      </c>
      <c r="C326" s="245"/>
      <c r="D326" s="245"/>
      <c r="E326" s="245"/>
      <c r="F326" s="65"/>
      <c r="G326" s="65"/>
      <c r="H326" s="71"/>
      <c r="I326" s="57">
        <f>SUM(I314:I325)</f>
        <v>9305262</v>
      </c>
    </row>
    <row r="327" spans="1:9" ht="15">
      <c r="A327" s="39"/>
      <c r="B327" s="39"/>
      <c r="C327" s="39"/>
      <c r="D327" s="39"/>
      <c r="E327" s="39"/>
      <c r="F327" s="39" t="s">
        <v>198</v>
      </c>
      <c r="G327" s="39"/>
      <c r="H327" s="39"/>
      <c r="I327" s="39" t="s">
        <v>198</v>
      </c>
    </row>
    <row r="328" spans="1:9" ht="15">
      <c r="A328" s="39"/>
      <c r="B328" s="39"/>
      <c r="C328" s="39"/>
      <c r="D328" s="38"/>
      <c r="E328" s="38"/>
      <c r="F328" s="240" t="s">
        <v>513</v>
      </c>
      <c r="G328" s="240"/>
      <c r="H328" s="240"/>
      <c r="I328" s="240"/>
    </row>
    <row r="329" spans="1:9" ht="15">
      <c r="A329" s="39"/>
      <c r="B329" s="39"/>
      <c r="C329" s="38" t="s">
        <v>199</v>
      </c>
      <c r="D329" s="38"/>
      <c r="E329" s="38"/>
      <c r="F329" s="240" t="s">
        <v>268</v>
      </c>
      <c r="G329" s="240"/>
      <c r="H329" s="240"/>
      <c r="I329" s="240"/>
    </row>
    <row r="330" spans="1:8" ht="15">
      <c r="A330" s="39"/>
      <c r="B330" s="39"/>
      <c r="C330" s="39"/>
      <c r="D330" s="39"/>
      <c r="E330" s="39"/>
      <c r="G330" s="39"/>
      <c r="H330" s="39"/>
    </row>
    <row r="331" spans="1:8" ht="15">
      <c r="A331" s="39"/>
      <c r="B331" s="61"/>
      <c r="C331" s="272" t="s">
        <v>866</v>
      </c>
      <c r="D331" s="39"/>
      <c r="E331" s="39"/>
      <c r="G331" s="270" t="s">
        <v>866</v>
      </c>
      <c r="H331" s="39"/>
    </row>
    <row r="332" spans="1:9" ht="15">
      <c r="A332" s="39"/>
      <c r="B332" s="61"/>
      <c r="C332" s="38" t="s">
        <v>269</v>
      </c>
      <c r="D332" s="62"/>
      <c r="E332" s="62"/>
      <c r="F332" s="240" t="s">
        <v>351</v>
      </c>
      <c r="G332" s="240"/>
      <c r="H332" s="240"/>
      <c r="I332" s="240"/>
    </row>
    <row r="333" spans="6:9" ht="15">
      <c r="F333" s="240"/>
      <c r="G333" s="240"/>
      <c r="H333" s="240"/>
      <c r="I333" s="240"/>
    </row>
    <row r="334" spans="6:9" ht="15">
      <c r="F334" s="240"/>
      <c r="G334" s="240"/>
      <c r="H334" s="240"/>
      <c r="I334" s="240"/>
    </row>
  </sheetData>
  <sheetProtection/>
  <mergeCells count="71">
    <mergeCell ref="E52:F52"/>
    <mergeCell ref="E55:F55"/>
    <mergeCell ref="A8:B8"/>
    <mergeCell ref="A9:B9"/>
    <mergeCell ref="A10:B10"/>
    <mergeCell ref="E24:F24"/>
    <mergeCell ref="B25:B26"/>
    <mergeCell ref="C25:C26"/>
    <mergeCell ref="D25:D26"/>
    <mergeCell ref="E25:E26"/>
    <mergeCell ref="F25:F26"/>
    <mergeCell ref="A1:F1"/>
    <mergeCell ref="A2:F2"/>
    <mergeCell ref="A3:F3"/>
    <mergeCell ref="A4:F4"/>
    <mergeCell ref="A5:F5"/>
    <mergeCell ref="E7:F7"/>
    <mergeCell ref="F333:I333"/>
    <mergeCell ref="F334:I334"/>
    <mergeCell ref="B312:B313"/>
    <mergeCell ref="C312:H313"/>
    <mergeCell ref="B326:E326"/>
    <mergeCell ref="F328:I328"/>
    <mergeCell ref="F329:I329"/>
    <mergeCell ref="F332:I332"/>
    <mergeCell ref="F285:I285"/>
    <mergeCell ref="F288:I288"/>
    <mergeCell ref="A290:I290"/>
    <mergeCell ref="A291:I291"/>
    <mergeCell ref="B293:B294"/>
    <mergeCell ref="C293:H294"/>
    <mergeCell ref="A183:I183"/>
    <mergeCell ref="A240:C240"/>
    <mergeCell ref="A241:I241"/>
    <mergeCell ref="A244:C244"/>
    <mergeCell ref="B309:E309"/>
    <mergeCell ref="A248:C248"/>
    <mergeCell ref="A249:I249"/>
    <mergeCell ref="A281:C281"/>
    <mergeCell ref="A282:C282"/>
    <mergeCell ref="F284:I284"/>
    <mergeCell ref="A108:I108"/>
    <mergeCell ref="A110:C110"/>
    <mergeCell ref="A245:I245"/>
    <mergeCell ref="A113:C113"/>
    <mergeCell ref="A114:I114"/>
    <mergeCell ref="A135:C135"/>
    <mergeCell ref="A136:I136"/>
    <mergeCell ref="A157:C157"/>
    <mergeCell ref="A158:I158"/>
    <mergeCell ref="A182:C182"/>
    <mergeCell ref="A111:I111"/>
    <mergeCell ref="G66:H66"/>
    <mergeCell ref="A68:I68"/>
    <mergeCell ref="A71:C71"/>
    <mergeCell ref="A72:I72"/>
    <mergeCell ref="A74:C74"/>
    <mergeCell ref="A75:I75"/>
    <mergeCell ref="A84:C84"/>
    <mergeCell ref="A85:I85"/>
    <mergeCell ref="A107:C107"/>
    <mergeCell ref="A61:I61"/>
    <mergeCell ref="A62:I62"/>
    <mergeCell ref="A63:I63"/>
    <mergeCell ref="A65:A67"/>
    <mergeCell ref="B65:C67"/>
    <mergeCell ref="D65:E65"/>
    <mergeCell ref="F65:F67"/>
    <mergeCell ref="G65:H65"/>
    <mergeCell ref="I65:I67"/>
    <mergeCell ref="D66:E66"/>
  </mergeCells>
  <printOptions/>
  <pageMargins left="0.37" right="0.39" top="0.28" bottom="1.1" header="0.3" footer="0.3"/>
  <pageSetup orientation="portrait" paperSize="5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1"/>
  <sheetViews>
    <sheetView zoomScalePageLayoutView="0" workbookViewId="0" topLeftCell="A7">
      <selection activeCell="B13" sqref="B13:B18"/>
    </sheetView>
  </sheetViews>
  <sheetFormatPr defaultColWidth="11.00390625" defaultRowHeight="15"/>
  <cols>
    <col min="1" max="1" width="5.140625" style="0" bestFit="1" customWidth="1"/>
    <col min="2" max="2" width="4.28125" style="0" bestFit="1" customWidth="1"/>
    <col min="3" max="3" width="34.28125" style="0" customWidth="1"/>
    <col min="4" max="4" width="18.7109375" style="0" customWidth="1"/>
    <col min="5" max="6" width="20.7109375" style="0" customWidth="1"/>
    <col min="7" max="8" width="15.7109375" style="0" customWidth="1"/>
    <col min="9" max="9" width="16.7109375" style="0" customWidth="1"/>
    <col min="10" max="10" width="14.7109375" style="0" customWidth="1"/>
    <col min="11" max="11" width="14.0039062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823</v>
      </c>
      <c r="F7" s="259"/>
    </row>
    <row r="8" spans="1:6" ht="18.75">
      <c r="A8" s="246" t="s">
        <v>748</v>
      </c>
      <c r="B8" s="246"/>
      <c r="C8" s="136" t="s">
        <v>824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200"/>
      <c r="F20" s="200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869</v>
      </c>
      <c r="C22" s="135"/>
      <c r="D22" s="135"/>
      <c r="E22" s="135"/>
      <c r="F22" s="137"/>
    </row>
    <row r="23" spans="2:6" ht="18.75">
      <c r="B23" s="135" t="s">
        <v>825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826</v>
      </c>
      <c r="D29" s="147"/>
      <c r="E29" s="147"/>
      <c r="F29" s="148">
        <f>'[1]Juli2'!F28</f>
        <v>1527235324</v>
      </c>
    </row>
    <row r="30" spans="1:6" ht="18.75">
      <c r="A30" s="140"/>
      <c r="B30" s="145"/>
      <c r="C30" s="146" t="s">
        <v>827</v>
      </c>
      <c r="D30" s="200">
        <v>148016394</v>
      </c>
      <c r="E30" s="150"/>
      <c r="F30" s="147"/>
    </row>
    <row r="31" spans="1:6" ht="18.75">
      <c r="A31" s="140"/>
      <c r="B31" s="145"/>
      <c r="C31" s="146" t="s">
        <v>828</v>
      </c>
      <c r="D31" s="147"/>
      <c r="E31" s="201">
        <v>29692150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1645559568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826</v>
      </c>
      <c r="D34" s="157"/>
      <c r="E34" s="158"/>
      <c r="F34" s="157">
        <f>'[1]maret'!F33</f>
        <v>2675000</v>
      </c>
    </row>
    <row r="35" spans="1:6" ht="18.75">
      <c r="A35" s="140"/>
      <c r="B35" s="145"/>
      <c r="C35" s="146" t="s">
        <v>827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828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148016394</v>
      </c>
      <c r="E38" s="160">
        <f>E31+E36</f>
        <v>29692150</v>
      </c>
      <c r="F38" s="161">
        <f>F32+F37</f>
        <v>1648234568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826</v>
      </c>
      <c r="D41" s="147"/>
      <c r="E41" s="166"/>
      <c r="F41" s="160">
        <f>'[1]Juli2'!F40</f>
        <v>1264278339</v>
      </c>
    </row>
    <row r="42" spans="1:6" ht="18.75">
      <c r="A42" s="167"/>
      <c r="B42" s="145"/>
      <c r="C42" s="146" t="s">
        <v>827</v>
      </c>
      <c r="D42" s="200">
        <v>199013543</v>
      </c>
      <c r="E42" s="168"/>
      <c r="F42" s="166"/>
    </row>
    <row r="43" spans="1:6" ht="18.75">
      <c r="A43" s="140"/>
      <c r="B43" s="145"/>
      <c r="C43" s="146" t="s">
        <v>828</v>
      </c>
      <c r="D43" s="150"/>
      <c r="E43" s="169">
        <v>98283625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1365008257</v>
      </c>
    </row>
    <row r="45" spans="1:6" ht="18.75">
      <c r="A45" s="140"/>
      <c r="B45" s="145"/>
      <c r="C45" s="171" t="s">
        <v>829</v>
      </c>
      <c r="D45" s="172">
        <f>D30+D42</f>
        <v>347029937</v>
      </c>
      <c r="E45" s="172">
        <f>E31+E43</f>
        <v>127975775</v>
      </c>
      <c r="F45" s="173">
        <f>F38+F44</f>
        <v>3013242825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79"/>
    </row>
    <row r="49" spans="1:6" ht="18.75">
      <c r="A49" s="175"/>
      <c r="B49" s="176" t="s">
        <v>773</v>
      </c>
      <c r="C49" s="137"/>
      <c r="D49" s="177"/>
      <c r="E49" s="137"/>
      <c r="F49" s="180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2" spans="1:9" ht="22.5">
      <c r="A62" s="206" t="s">
        <v>0</v>
      </c>
      <c r="B62" s="206"/>
      <c r="C62" s="206"/>
      <c r="D62" s="206"/>
      <c r="E62" s="206"/>
      <c r="F62" s="206"/>
      <c r="G62" s="206"/>
      <c r="H62" s="206"/>
      <c r="I62" s="206"/>
    </row>
    <row r="63" spans="1:9" ht="22.5">
      <c r="A63" s="206" t="s">
        <v>1</v>
      </c>
      <c r="B63" s="206"/>
      <c r="C63" s="206"/>
      <c r="D63" s="206"/>
      <c r="E63" s="206"/>
      <c r="F63" s="206"/>
      <c r="G63" s="206"/>
      <c r="H63" s="206"/>
      <c r="I63" s="206"/>
    </row>
    <row r="64" spans="1:9" ht="20.25">
      <c r="A64" s="207" t="s">
        <v>514</v>
      </c>
      <c r="B64" s="207"/>
      <c r="C64" s="207"/>
      <c r="D64" s="207"/>
      <c r="E64" s="207"/>
      <c r="F64" s="207"/>
      <c r="G64" s="207"/>
      <c r="H64" s="207"/>
      <c r="I64" s="207"/>
    </row>
    <row r="65" spans="1:9" ht="15.75" thickBot="1">
      <c r="A65" s="1"/>
      <c r="B65" s="1"/>
      <c r="C65" s="1"/>
      <c r="D65" s="1"/>
      <c r="E65" s="1"/>
      <c r="F65" s="1"/>
      <c r="G65" s="1"/>
      <c r="H65" s="1"/>
      <c r="I65" s="1"/>
    </row>
    <row r="66" spans="1:9" ht="15.75" thickTop="1">
      <c r="A66" s="208" t="s">
        <v>2</v>
      </c>
      <c r="B66" s="211" t="s">
        <v>3</v>
      </c>
      <c r="C66" s="267"/>
      <c r="D66" s="217" t="s">
        <v>4</v>
      </c>
      <c r="E66" s="218"/>
      <c r="F66" s="219" t="s">
        <v>5</v>
      </c>
      <c r="G66" s="217" t="s">
        <v>4</v>
      </c>
      <c r="H66" s="218"/>
      <c r="I66" s="219" t="s">
        <v>5</v>
      </c>
    </row>
    <row r="67" spans="1:9" ht="15">
      <c r="A67" s="209"/>
      <c r="B67" s="213"/>
      <c r="C67" s="268"/>
      <c r="D67" s="222" t="s">
        <v>492</v>
      </c>
      <c r="E67" s="223"/>
      <c r="F67" s="220"/>
      <c r="G67" s="222" t="s">
        <v>515</v>
      </c>
      <c r="H67" s="223"/>
      <c r="I67" s="220"/>
    </row>
    <row r="68" spans="1:12" ht="15">
      <c r="A68" s="210"/>
      <c r="B68" s="215"/>
      <c r="C68" s="269"/>
      <c r="D68" s="2" t="s">
        <v>6</v>
      </c>
      <c r="E68" s="2" t="s">
        <v>7</v>
      </c>
      <c r="F68" s="221"/>
      <c r="G68" s="2" t="s">
        <v>6</v>
      </c>
      <c r="H68" s="2" t="s">
        <v>7</v>
      </c>
      <c r="I68" s="221"/>
      <c r="L68" t="s">
        <v>198</v>
      </c>
    </row>
    <row r="69" spans="1:9" ht="15">
      <c r="A69" s="230" t="s">
        <v>8</v>
      </c>
      <c r="B69" s="231"/>
      <c r="C69" s="231"/>
      <c r="D69" s="231"/>
      <c r="E69" s="231"/>
      <c r="F69" s="231"/>
      <c r="G69" s="231"/>
      <c r="H69" s="231"/>
      <c r="I69" s="232"/>
    </row>
    <row r="70" spans="1:9" ht="15">
      <c r="A70" s="80">
        <v>1</v>
      </c>
      <c r="B70" s="3">
        <v>1</v>
      </c>
      <c r="C70" s="4" t="s">
        <v>9</v>
      </c>
      <c r="D70" s="5"/>
      <c r="E70" s="5">
        <v>5000000</v>
      </c>
      <c r="F70" s="6">
        <f>SUM(D70:E70)</f>
        <v>5000000</v>
      </c>
      <c r="G70" s="5"/>
      <c r="H70" s="5">
        <v>5000000</v>
      </c>
      <c r="I70" s="6">
        <f>SUM(G70:H70)</f>
        <v>5000000</v>
      </c>
    </row>
    <row r="71" spans="1:9" ht="15">
      <c r="A71" s="80">
        <v>2</v>
      </c>
      <c r="B71" s="3">
        <v>2</v>
      </c>
      <c r="C71" s="4" t="s">
        <v>10</v>
      </c>
      <c r="D71" s="5"/>
      <c r="E71" s="5"/>
      <c r="F71" s="6">
        <f>SUM(D71:E71)</f>
        <v>0</v>
      </c>
      <c r="G71" s="5"/>
      <c r="H71" s="5"/>
      <c r="I71" s="6">
        <f>SUM(G71:H71)</f>
        <v>0</v>
      </c>
    </row>
    <row r="72" spans="1:9" ht="15">
      <c r="A72" s="224" t="s">
        <v>5</v>
      </c>
      <c r="B72" s="225"/>
      <c r="C72" s="225"/>
      <c r="D72" s="7">
        <f>SUM(D70:D71)</f>
        <v>0</v>
      </c>
      <c r="E72" s="8">
        <f>SUM(E70:E71)</f>
        <v>5000000</v>
      </c>
      <c r="F72" s="7">
        <f>SUM(D72:E72)</f>
        <v>5000000</v>
      </c>
      <c r="G72" s="7">
        <f>SUM(G70:G71)</f>
        <v>0</v>
      </c>
      <c r="H72" s="8">
        <f>SUM(H70:H71)</f>
        <v>5000000</v>
      </c>
      <c r="I72" s="7">
        <f>SUM(G72:H72)</f>
        <v>5000000</v>
      </c>
    </row>
    <row r="73" spans="1:9" ht="15">
      <c r="A73" s="224" t="s">
        <v>564</v>
      </c>
      <c r="B73" s="225"/>
      <c r="C73" s="225"/>
      <c r="D73" s="225"/>
      <c r="E73" s="225"/>
      <c r="F73" s="225"/>
      <c r="G73" s="225"/>
      <c r="H73" s="225"/>
      <c r="I73" s="226"/>
    </row>
    <row r="74" spans="1:9" ht="15">
      <c r="A74" s="111">
        <v>3</v>
      </c>
      <c r="B74" s="111">
        <v>1</v>
      </c>
      <c r="C74" s="22" t="s">
        <v>565</v>
      </c>
      <c r="D74" s="5"/>
      <c r="E74" s="14"/>
      <c r="F74" s="5">
        <f>SUM(D74:E74)</f>
        <v>0</v>
      </c>
      <c r="G74" s="5"/>
      <c r="H74" s="14">
        <v>150000000</v>
      </c>
      <c r="I74" s="5">
        <f>SUM(G74:H74)</f>
        <v>150000000</v>
      </c>
    </row>
    <row r="75" spans="1:9" ht="15">
      <c r="A75" s="239" t="s">
        <v>5</v>
      </c>
      <c r="B75" s="239"/>
      <c r="C75" s="239"/>
      <c r="D75" s="7">
        <f aca="true" t="shared" si="0" ref="D75:I75">SUM(D74)</f>
        <v>0</v>
      </c>
      <c r="E75" s="7">
        <f t="shared" si="0"/>
        <v>0</v>
      </c>
      <c r="F75" s="7">
        <f t="shared" si="0"/>
        <v>0</v>
      </c>
      <c r="G75" s="7">
        <f t="shared" si="0"/>
        <v>0</v>
      </c>
      <c r="H75" s="7">
        <f t="shared" si="0"/>
        <v>150000000</v>
      </c>
      <c r="I75" s="7">
        <f t="shared" si="0"/>
        <v>150000000</v>
      </c>
    </row>
    <row r="76" spans="1:9" ht="15">
      <c r="A76" s="227" t="s">
        <v>11</v>
      </c>
      <c r="B76" s="228"/>
      <c r="C76" s="228"/>
      <c r="D76" s="228"/>
      <c r="E76" s="228"/>
      <c r="F76" s="228"/>
      <c r="G76" s="228"/>
      <c r="H76" s="228"/>
      <c r="I76" s="229"/>
    </row>
    <row r="77" spans="1:9" ht="15">
      <c r="A77" s="9">
        <v>4</v>
      </c>
      <c r="B77" s="9">
        <v>1</v>
      </c>
      <c r="C77" s="10" t="s">
        <v>12</v>
      </c>
      <c r="D77" s="5">
        <v>2080214</v>
      </c>
      <c r="E77" s="5"/>
      <c r="F77" s="6">
        <f>SUM(D77:E77)</f>
        <v>2080214</v>
      </c>
      <c r="G77" s="5"/>
      <c r="H77" s="5"/>
      <c r="I77" s="6">
        <f>SUM(G77:H77)</f>
        <v>0</v>
      </c>
    </row>
    <row r="78" spans="1:9" ht="15">
      <c r="A78" s="224" t="s">
        <v>5</v>
      </c>
      <c r="B78" s="225"/>
      <c r="C78" s="225"/>
      <c r="D78" s="7">
        <f>SUM(D76:D77)</f>
        <v>2080214</v>
      </c>
      <c r="E78" s="8">
        <f>SUM(E76:E77)</f>
        <v>0</v>
      </c>
      <c r="F78" s="7">
        <f>SUM(D78:E78)</f>
        <v>2080214</v>
      </c>
      <c r="G78" s="7">
        <f>SUM(G76:G77)</f>
        <v>0</v>
      </c>
      <c r="H78" s="8">
        <f>SUM(H76:H77)</f>
        <v>0</v>
      </c>
      <c r="I78" s="7">
        <f>SUM(G78:H78)</f>
        <v>0</v>
      </c>
    </row>
    <row r="79" spans="1:9" ht="15">
      <c r="A79" s="224" t="s">
        <v>13</v>
      </c>
      <c r="B79" s="225"/>
      <c r="C79" s="225"/>
      <c r="D79" s="225"/>
      <c r="E79" s="225"/>
      <c r="F79" s="225"/>
      <c r="G79" s="225"/>
      <c r="H79" s="225"/>
      <c r="I79" s="226"/>
    </row>
    <row r="80" spans="1:9" ht="15">
      <c r="A80" s="11">
        <v>5</v>
      </c>
      <c r="B80" s="12">
        <v>1</v>
      </c>
      <c r="C80" s="95" t="s">
        <v>312</v>
      </c>
      <c r="D80" s="5">
        <v>2345000</v>
      </c>
      <c r="E80" s="5">
        <v>509000</v>
      </c>
      <c r="F80" s="6">
        <f aca="true" t="shared" si="1" ref="F80:F88">SUM(D80:E80)</f>
        <v>2854000</v>
      </c>
      <c r="G80" s="5">
        <v>2345000</v>
      </c>
      <c r="H80" s="5">
        <v>509000</v>
      </c>
      <c r="I80" s="6">
        <f aca="true" t="shared" si="2" ref="I80:I87">SUM(G80:H80)</f>
        <v>2854000</v>
      </c>
    </row>
    <row r="81" spans="1:9" ht="15">
      <c r="A81" s="11">
        <v>6</v>
      </c>
      <c r="B81" s="12">
        <v>2</v>
      </c>
      <c r="C81" s="13" t="s">
        <v>234</v>
      </c>
      <c r="D81" s="5">
        <v>1737689</v>
      </c>
      <c r="E81" s="5">
        <v>215550</v>
      </c>
      <c r="F81" s="6">
        <f t="shared" si="1"/>
        <v>1953239</v>
      </c>
      <c r="G81" s="5">
        <v>1737689</v>
      </c>
      <c r="H81" s="5">
        <v>215550</v>
      </c>
      <c r="I81" s="6">
        <f t="shared" si="2"/>
        <v>1953239</v>
      </c>
    </row>
    <row r="82" spans="1:9" ht="15">
      <c r="A82" s="11">
        <v>7</v>
      </c>
      <c r="B82" s="12">
        <v>3</v>
      </c>
      <c r="C82" s="13" t="s">
        <v>15</v>
      </c>
      <c r="D82" s="5">
        <v>2537350</v>
      </c>
      <c r="E82" s="14">
        <v>112100</v>
      </c>
      <c r="F82" s="6">
        <f t="shared" si="1"/>
        <v>2649450</v>
      </c>
      <c r="G82" s="5">
        <v>2552350</v>
      </c>
      <c r="H82" s="14">
        <v>112100</v>
      </c>
      <c r="I82" s="6">
        <f t="shared" si="2"/>
        <v>2664450</v>
      </c>
    </row>
    <row r="83" spans="1:9" ht="15">
      <c r="A83" s="11">
        <v>8</v>
      </c>
      <c r="B83" s="12">
        <v>4</v>
      </c>
      <c r="C83" s="13" t="s">
        <v>16</v>
      </c>
      <c r="D83" s="5"/>
      <c r="E83" s="5"/>
      <c r="F83" s="6">
        <f t="shared" si="1"/>
        <v>0</v>
      </c>
      <c r="G83" s="5"/>
      <c r="H83" s="5"/>
      <c r="I83" s="6">
        <f t="shared" si="2"/>
        <v>0</v>
      </c>
    </row>
    <row r="84" spans="1:9" ht="15">
      <c r="A84" s="11">
        <v>9</v>
      </c>
      <c r="B84" s="12">
        <v>5</v>
      </c>
      <c r="C84" s="13" t="s">
        <v>17</v>
      </c>
      <c r="D84" s="5"/>
      <c r="E84" s="5"/>
      <c r="F84" s="6">
        <f t="shared" si="1"/>
        <v>0</v>
      </c>
      <c r="G84" s="5"/>
      <c r="H84" s="5"/>
      <c r="I84" s="6">
        <f t="shared" si="2"/>
        <v>0</v>
      </c>
    </row>
    <row r="85" spans="1:9" ht="15">
      <c r="A85" s="11">
        <v>10</v>
      </c>
      <c r="B85" s="12">
        <v>6</v>
      </c>
      <c r="C85" s="13" t="s">
        <v>18</v>
      </c>
      <c r="D85" s="5"/>
      <c r="E85" s="5"/>
      <c r="F85" s="6">
        <f t="shared" si="1"/>
        <v>0</v>
      </c>
      <c r="G85" s="5"/>
      <c r="H85" s="5"/>
      <c r="I85" s="6">
        <f t="shared" si="2"/>
        <v>0</v>
      </c>
    </row>
    <row r="86" spans="1:9" ht="15">
      <c r="A86" s="11">
        <v>11</v>
      </c>
      <c r="B86" s="12">
        <v>7</v>
      </c>
      <c r="C86" s="15" t="s">
        <v>19</v>
      </c>
      <c r="D86" s="5">
        <v>297278</v>
      </c>
      <c r="E86" s="5">
        <v>58000</v>
      </c>
      <c r="F86" s="6">
        <f t="shared" si="1"/>
        <v>355278</v>
      </c>
      <c r="G86" s="5">
        <v>209135</v>
      </c>
      <c r="H86" s="5">
        <v>58000</v>
      </c>
      <c r="I86" s="6">
        <f t="shared" si="2"/>
        <v>267135</v>
      </c>
    </row>
    <row r="87" spans="1:9" ht="15">
      <c r="A87" s="11">
        <v>12</v>
      </c>
      <c r="B87" s="12">
        <v>8</v>
      </c>
      <c r="C87" s="13" t="s">
        <v>307</v>
      </c>
      <c r="D87" s="5">
        <v>2461731</v>
      </c>
      <c r="E87" s="5">
        <v>337000</v>
      </c>
      <c r="F87" s="6">
        <f t="shared" si="1"/>
        <v>2798731</v>
      </c>
      <c r="G87" s="5">
        <v>2361666</v>
      </c>
      <c r="H87" s="5">
        <v>336000</v>
      </c>
      <c r="I87" s="6">
        <f t="shared" si="2"/>
        <v>2697666</v>
      </c>
    </row>
    <row r="88" spans="1:11" ht="15">
      <c r="A88" s="224" t="s">
        <v>5</v>
      </c>
      <c r="B88" s="225"/>
      <c r="C88" s="225"/>
      <c r="D88" s="7">
        <f>SUM(D80:D87)</f>
        <v>9379048</v>
      </c>
      <c r="E88" s="7">
        <f>SUM(E80:E87)</f>
        <v>1231650</v>
      </c>
      <c r="F88" s="7">
        <f t="shared" si="1"/>
        <v>10610698</v>
      </c>
      <c r="G88" s="7">
        <f>SUM(G80:G87)</f>
        <v>9205840</v>
      </c>
      <c r="H88" s="7">
        <f>SUM(H80:H87)</f>
        <v>1230650</v>
      </c>
      <c r="I88" s="7">
        <f>SUM(G88:H88)</f>
        <v>10436490</v>
      </c>
      <c r="K88" s="16"/>
    </row>
    <row r="89" spans="1:9" ht="15">
      <c r="A89" s="224" t="s">
        <v>20</v>
      </c>
      <c r="B89" s="225"/>
      <c r="C89" s="225"/>
      <c r="D89" s="225"/>
      <c r="E89" s="225"/>
      <c r="F89" s="225"/>
      <c r="G89" s="225"/>
      <c r="H89" s="225"/>
      <c r="I89" s="226"/>
    </row>
    <row r="90" spans="1:9" ht="15">
      <c r="A90" s="17">
        <v>13</v>
      </c>
      <c r="B90" s="15">
        <v>1</v>
      </c>
      <c r="C90" s="13" t="s">
        <v>255</v>
      </c>
      <c r="D90" s="5">
        <v>2249663</v>
      </c>
      <c r="E90" s="18">
        <v>1327215</v>
      </c>
      <c r="F90" s="6">
        <f aca="true" t="shared" si="3" ref="F90:F110">SUM(D90:E90)</f>
        <v>3576878</v>
      </c>
      <c r="G90" s="5">
        <v>2252550</v>
      </c>
      <c r="H90" s="18">
        <v>1306215</v>
      </c>
      <c r="I90" s="6">
        <f aca="true" t="shared" si="4" ref="I90:I111">SUM(G90:H90)</f>
        <v>3558765</v>
      </c>
    </row>
    <row r="91" spans="1:9" ht="15">
      <c r="A91" s="17">
        <v>14</v>
      </c>
      <c r="B91" s="15">
        <v>2</v>
      </c>
      <c r="C91" s="13" t="s">
        <v>21</v>
      </c>
      <c r="D91" s="5">
        <v>3833045</v>
      </c>
      <c r="E91" s="5">
        <v>5695000</v>
      </c>
      <c r="F91" s="6">
        <f t="shared" si="3"/>
        <v>9528045</v>
      </c>
      <c r="G91" s="5">
        <v>3833045</v>
      </c>
      <c r="H91" s="5">
        <v>5695000</v>
      </c>
      <c r="I91" s="6">
        <f t="shared" si="4"/>
        <v>9528045</v>
      </c>
    </row>
    <row r="92" spans="1:9" ht="15">
      <c r="A92" s="17">
        <v>15</v>
      </c>
      <c r="B92" s="15">
        <v>3</v>
      </c>
      <c r="C92" s="13" t="s">
        <v>314</v>
      </c>
      <c r="D92" s="5">
        <v>2142750</v>
      </c>
      <c r="E92" s="5">
        <v>560000</v>
      </c>
      <c r="F92" s="6">
        <f t="shared" si="3"/>
        <v>2702750</v>
      </c>
      <c r="G92" s="5">
        <v>2142750</v>
      </c>
      <c r="H92" s="5">
        <v>557000</v>
      </c>
      <c r="I92" s="6">
        <f t="shared" si="4"/>
        <v>2699750</v>
      </c>
    </row>
    <row r="93" spans="1:9" ht="15">
      <c r="A93" s="17">
        <v>16</v>
      </c>
      <c r="B93" s="15">
        <v>4</v>
      </c>
      <c r="C93" s="13" t="s">
        <v>253</v>
      </c>
      <c r="D93" s="5">
        <v>680373</v>
      </c>
      <c r="E93" s="5">
        <v>723785</v>
      </c>
      <c r="F93" s="6">
        <f t="shared" si="3"/>
        <v>1404158</v>
      </c>
      <c r="G93" s="5">
        <v>680373</v>
      </c>
      <c r="H93" s="5">
        <v>723785</v>
      </c>
      <c r="I93" s="6">
        <f t="shared" si="4"/>
        <v>1404158</v>
      </c>
    </row>
    <row r="94" spans="1:9" ht="15">
      <c r="A94" s="17">
        <v>17</v>
      </c>
      <c r="B94" s="15">
        <v>5</v>
      </c>
      <c r="C94" s="13" t="s">
        <v>24</v>
      </c>
      <c r="D94" s="5">
        <v>2117300</v>
      </c>
      <c r="E94" s="5">
        <v>85000</v>
      </c>
      <c r="F94" s="6">
        <f t="shared" si="3"/>
        <v>2202300</v>
      </c>
      <c r="G94" s="5">
        <v>2013100</v>
      </c>
      <c r="H94" s="5">
        <v>85000</v>
      </c>
      <c r="I94" s="6">
        <f t="shared" si="4"/>
        <v>2098100</v>
      </c>
    </row>
    <row r="95" spans="1:9" ht="15">
      <c r="A95" s="17">
        <v>18</v>
      </c>
      <c r="B95" s="15">
        <v>6</v>
      </c>
      <c r="C95" s="13" t="s">
        <v>25</v>
      </c>
      <c r="D95" s="5">
        <v>2030000</v>
      </c>
      <c r="E95" s="5">
        <v>424000</v>
      </c>
      <c r="F95" s="6">
        <f t="shared" si="3"/>
        <v>2454000</v>
      </c>
      <c r="G95" s="5">
        <v>2030000</v>
      </c>
      <c r="H95" s="5">
        <v>424000</v>
      </c>
      <c r="I95" s="6">
        <f t="shared" si="4"/>
        <v>2454000</v>
      </c>
    </row>
    <row r="96" spans="1:9" ht="15">
      <c r="A96" s="17">
        <v>19</v>
      </c>
      <c r="B96" s="15">
        <v>7</v>
      </c>
      <c r="C96" s="95" t="s">
        <v>26</v>
      </c>
      <c r="D96" s="5">
        <v>3946700</v>
      </c>
      <c r="E96" s="5">
        <v>182550</v>
      </c>
      <c r="F96" s="6">
        <f t="shared" si="3"/>
        <v>4129250</v>
      </c>
      <c r="G96" s="5">
        <v>3957100</v>
      </c>
      <c r="H96" s="5">
        <v>182600</v>
      </c>
      <c r="I96" s="6">
        <f t="shared" si="4"/>
        <v>4139700</v>
      </c>
    </row>
    <row r="97" spans="1:9" ht="15">
      <c r="A97" s="17">
        <v>20</v>
      </c>
      <c r="B97" s="15">
        <v>8</v>
      </c>
      <c r="C97" s="95" t="s">
        <v>242</v>
      </c>
      <c r="D97" s="5">
        <v>2560100</v>
      </c>
      <c r="E97" s="5"/>
      <c r="F97" s="6">
        <f t="shared" si="3"/>
        <v>2560100</v>
      </c>
      <c r="G97" s="5">
        <v>2535100</v>
      </c>
      <c r="H97" s="5"/>
      <c r="I97" s="6">
        <f t="shared" si="4"/>
        <v>2535100</v>
      </c>
    </row>
    <row r="98" spans="1:9" ht="15">
      <c r="A98" s="17">
        <v>21</v>
      </c>
      <c r="B98" s="15">
        <v>9</v>
      </c>
      <c r="C98" s="95" t="s">
        <v>28</v>
      </c>
      <c r="D98" s="5">
        <v>1038000</v>
      </c>
      <c r="E98" s="5">
        <v>152000</v>
      </c>
      <c r="F98" s="6">
        <f t="shared" si="3"/>
        <v>1190000</v>
      </c>
      <c r="G98" s="5">
        <v>860000</v>
      </c>
      <c r="H98" s="5"/>
      <c r="I98" s="6">
        <f t="shared" si="4"/>
        <v>860000</v>
      </c>
    </row>
    <row r="99" spans="1:9" ht="15">
      <c r="A99" s="17">
        <v>22</v>
      </c>
      <c r="B99" s="15">
        <v>10</v>
      </c>
      <c r="C99" s="95" t="s">
        <v>203</v>
      </c>
      <c r="D99" s="5">
        <v>2932884</v>
      </c>
      <c r="E99" s="5">
        <v>1445000</v>
      </c>
      <c r="F99" s="6">
        <f t="shared" si="3"/>
        <v>4377884</v>
      </c>
      <c r="G99" s="5">
        <v>3019117</v>
      </c>
      <c r="H99" s="5">
        <v>1415000</v>
      </c>
      <c r="I99" s="6">
        <f t="shared" si="4"/>
        <v>4434117</v>
      </c>
    </row>
    <row r="100" spans="1:9" ht="15">
      <c r="A100" s="17">
        <v>23</v>
      </c>
      <c r="B100" s="15">
        <v>11</v>
      </c>
      <c r="C100" s="95" t="s">
        <v>244</v>
      </c>
      <c r="D100" s="5">
        <v>1378045</v>
      </c>
      <c r="E100" s="5">
        <v>389133</v>
      </c>
      <c r="F100" s="6">
        <f t="shared" si="3"/>
        <v>1767178</v>
      </c>
      <c r="G100" s="5">
        <v>1378045</v>
      </c>
      <c r="H100" s="5">
        <v>389133</v>
      </c>
      <c r="I100" s="6">
        <f t="shared" si="4"/>
        <v>1767178</v>
      </c>
    </row>
    <row r="101" spans="1:9" ht="15">
      <c r="A101" s="17">
        <v>24</v>
      </c>
      <c r="B101" s="15">
        <v>12</v>
      </c>
      <c r="C101" s="95" t="s">
        <v>31</v>
      </c>
      <c r="D101" s="5">
        <v>1372000</v>
      </c>
      <c r="E101" s="18">
        <v>300000</v>
      </c>
      <c r="F101" s="6">
        <f t="shared" si="3"/>
        <v>1672000</v>
      </c>
      <c r="G101" s="5">
        <v>1372000</v>
      </c>
      <c r="H101" s="18">
        <v>300000</v>
      </c>
      <c r="I101" s="6">
        <f t="shared" si="4"/>
        <v>1672000</v>
      </c>
    </row>
    <row r="102" spans="1:9" ht="15">
      <c r="A102" s="17">
        <v>25</v>
      </c>
      <c r="B102" s="15">
        <v>13</v>
      </c>
      <c r="C102" s="95" t="s">
        <v>32</v>
      </c>
      <c r="D102" s="5"/>
      <c r="E102" s="5"/>
      <c r="F102" s="6">
        <f t="shared" si="3"/>
        <v>0</v>
      </c>
      <c r="G102" s="5"/>
      <c r="H102" s="5"/>
      <c r="I102" s="6">
        <f t="shared" si="4"/>
        <v>0</v>
      </c>
    </row>
    <row r="103" spans="1:9" ht="15">
      <c r="A103" s="17">
        <v>26</v>
      </c>
      <c r="B103" s="15">
        <v>14</v>
      </c>
      <c r="C103" s="95" t="s">
        <v>423</v>
      </c>
      <c r="D103" s="5"/>
      <c r="E103" s="5"/>
      <c r="F103" s="6">
        <f t="shared" si="3"/>
        <v>0</v>
      </c>
      <c r="G103" s="5">
        <f>643878+721503</f>
        <v>1365381</v>
      </c>
      <c r="H103" s="5"/>
      <c r="I103" s="6">
        <f t="shared" si="4"/>
        <v>1365381</v>
      </c>
    </row>
    <row r="104" spans="1:9" ht="15">
      <c r="A104" s="17">
        <v>27</v>
      </c>
      <c r="B104" s="15">
        <v>15</v>
      </c>
      <c r="C104" s="95" t="s">
        <v>230</v>
      </c>
      <c r="D104" s="5">
        <v>865000</v>
      </c>
      <c r="E104" s="5">
        <v>1604600</v>
      </c>
      <c r="F104" s="6">
        <f t="shared" si="3"/>
        <v>2469600</v>
      </c>
      <c r="G104" s="5">
        <v>971000</v>
      </c>
      <c r="H104" s="5">
        <v>1604600</v>
      </c>
      <c r="I104" s="6">
        <f t="shared" si="4"/>
        <v>2575600</v>
      </c>
    </row>
    <row r="105" spans="1:9" ht="15">
      <c r="A105" s="17">
        <v>28</v>
      </c>
      <c r="B105" s="15">
        <v>16</v>
      </c>
      <c r="C105" s="95" t="s">
        <v>252</v>
      </c>
      <c r="D105" s="5">
        <v>1303418</v>
      </c>
      <c r="E105" s="5">
        <v>25000</v>
      </c>
      <c r="F105" s="6">
        <f t="shared" si="3"/>
        <v>1328418</v>
      </c>
      <c r="G105" s="5">
        <v>1303418</v>
      </c>
      <c r="H105" s="5">
        <v>25000</v>
      </c>
      <c r="I105" s="6">
        <f t="shared" si="4"/>
        <v>1328418</v>
      </c>
    </row>
    <row r="106" spans="1:9" ht="15">
      <c r="A106" s="17">
        <v>29</v>
      </c>
      <c r="B106" s="15">
        <v>17</v>
      </c>
      <c r="C106" s="95" t="s">
        <v>313</v>
      </c>
      <c r="D106" s="5"/>
      <c r="E106" s="5"/>
      <c r="F106" s="6">
        <f t="shared" si="3"/>
        <v>0</v>
      </c>
      <c r="G106" s="5"/>
      <c r="H106" s="5"/>
      <c r="I106" s="6">
        <f t="shared" si="4"/>
        <v>0</v>
      </c>
    </row>
    <row r="107" spans="1:9" ht="15">
      <c r="A107" s="17">
        <v>30</v>
      </c>
      <c r="B107" s="15">
        <v>18</v>
      </c>
      <c r="C107" s="96" t="s">
        <v>240</v>
      </c>
      <c r="D107" s="5">
        <v>3191750</v>
      </c>
      <c r="E107" s="5"/>
      <c r="F107" s="6">
        <f t="shared" si="3"/>
        <v>3191750</v>
      </c>
      <c r="G107" s="5">
        <v>3193650</v>
      </c>
      <c r="H107" s="5"/>
      <c r="I107" s="6">
        <f t="shared" si="4"/>
        <v>3193650</v>
      </c>
    </row>
    <row r="108" spans="1:9" ht="15">
      <c r="A108" s="17">
        <v>31</v>
      </c>
      <c r="B108" s="15">
        <v>19</v>
      </c>
      <c r="C108" s="96" t="s">
        <v>243</v>
      </c>
      <c r="D108" s="5">
        <v>489505</v>
      </c>
      <c r="E108" s="5">
        <v>767450</v>
      </c>
      <c r="F108" s="6">
        <f t="shared" si="3"/>
        <v>1256955</v>
      </c>
      <c r="G108" s="5">
        <v>489505</v>
      </c>
      <c r="H108" s="5">
        <v>767450</v>
      </c>
      <c r="I108" s="6">
        <f t="shared" si="4"/>
        <v>1256955</v>
      </c>
    </row>
    <row r="109" spans="1:9" ht="15">
      <c r="A109" s="17">
        <v>32</v>
      </c>
      <c r="B109" s="15">
        <v>20</v>
      </c>
      <c r="C109" s="96" t="s">
        <v>311</v>
      </c>
      <c r="D109" s="5">
        <v>774900</v>
      </c>
      <c r="E109" s="5">
        <v>116000</v>
      </c>
      <c r="F109" s="6">
        <f t="shared" si="3"/>
        <v>890900</v>
      </c>
      <c r="G109" s="5">
        <v>774900</v>
      </c>
      <c r="H109" s="5">
        <v>113000</v>
      </c>
      <c r="I109" s="6">
        <f t="shared" si="4"/>
        <v>887900</v>
      </c>
    </row>
    <row r="110" spans="1:9" ht="15">
      <c r="A110" s="17">
        <v>33</v>
      </c>
      <c r="B110" s="15">
        <v>21</v>
      </c>
      <c r="C110" s="96" t="s">
        <v>315</v>
      </c>
      <c r="D110" s="5">
        <v>635000</v>
      </c>
      <c r="E110" s="5"/>
      <c r="F110" s="6">
        <f t="shared" si="3"/>
        <v>635000</v>
      </c>
      <c r="G110" s="5">
        <v>634500</v>
      </c>
      <c r="H110" s="5"/>
      <c r="I110" s="6">
        <f t="shared" si="4"/>
        <v>634500</v>
      </c>
    </row>
    <row r="111" spans="1:9" ht="15">
      <c r="A111" s="224" t="s">
        <v>5</v>
      </c>
      <c r="B111" s="225"/>
      <c r="C111" s="225"/>
      <c r="D111" s="7">
        <f>SUM(D90:D110)</f>
        <v>33540433</v>
      </c>
      <c r="E111" s="7">
        <f>SUM(E90:E110)</f>
        <v>13796733</v>
      </c>
      <c r="F111" s="7">
        <f>SUM(D111:E111)</f>
        <v>47337166</v>
      </c>
      <c r="G111" s="7">
        <f>SUM(G90:G110)</f>
        <v>34805534</v>
      </c>
      <c r="H111" s="7">
        <f>SUM(H90:H110)</f>
        <v>13587783</v>
      </c>
      <c r="I111" s="7">
        <f t="shared" si="4"/>
        <v>48393317</v>
      </c>
    </row>
    <row r="112" spans="1:9" ht="15">
      <c r="A112" s="224" t="s">
        <v>47</v>
      </c>
      <c r="B112" s="225"/>
      <c r="C112" s="225"/>
      <c r="D112" s="225"/>
      <c r="E112" s="225"/>
      <c r="F112" s="225"/>
      <c r="G112" s="225"/>
      <c r="H112" s="225"/>
      <c r="I112" s="226"/>
    </row>
    <row r="113" spans="1:9" ht="15">
      <c r="A113" s="15">
        <v>34</v>
      </c>
      <c r="B113" s="15">
        <v>1</v>
      </c>
      <c r="C113" s="15" t="s">
        <v>48</v>
      </c>
      <c r="D113" s="5">
        <v>900000</v>
      </c>
      <c r="E113" s="5">
        <v>200000</v>
      </c>
      <c r="F113" s="6">
        <f>SUM(D113:E113)</f>
        <v>1100000</v>
      </c>
      <c r="G113" s="5">
        <v>1000000</v>
      </c>
      <c r="H113" s="5">
        <v>200000</v>
      </c>
      <c r="I113" s="6">
        <f>SUM(G113:H113)</f>
        <v>1200000</v>
      </c>
    </row>
    <row r="114" spans="1:9" ht="15">
      <c r="A114" s="224" t="s">
        <v>42</v>
      </c>
      <c r="B114" s="225"/>
      <c r="C114" s="225"/>
      <c r="D114" s="7">
        <f>D113</f>
        <v>900000</v>
      </c>
      <c r="E114" s="7">
        <f>E113</f>
        <v>200000</v>
      </c>
      <c r="F114" s="7">
        <f>SUM(D114:E114)</f>
        <v>1100000</v>
      </c>
      <c r="G114" s="7">
        <f>G113</f>
        <v>1000000</v>
      </c>
      <c r="H114" s="7">
        <f>H113</f>
        <v>200000</v>
      </c>
      <c r="I114" s="7">
        <f>SUM(G114:H114)</f>
        <v>1200000</v>
      </c>
    </row>
    <row r="115" spans="1:9" ht="15">
      <c r="A115" s="224" t="s">
        <v>49</v>
      </c>
      <c r="B115" s="225"/>
      <c r="C115" s="225"/>
      <c r="D115" s="225"/>
      <c r="E115" s="225"/>
      <c r="F115" s="225"/>
      <c r="G115" s="225"/>
      <c r="H115" s="225"/>
      <c r="I115" s="226"/>
    </row>
    <row r="116" spans="1:9" ht="15">
      <c r="A116" s="15">
        <v>35</v>
      </c>
      <c r="B116" s="15">
        <v>1</v>
      </c>
      <c r="C116" s="19" t="s">
        <v>50</v>
      </c>
      <c r="D116" s="5">
        <v>1804200</v>
      </c>
      <c r="E116" s="5">
        <v>509200</v>
      </c>
      <c r="F116" s="6">
        <f>SUM(D116:E116)</f>
        <v>2313400</v>
      </c>
      <c r="G116" s="5">
        <v>1804200</v>
      </c>
      <c r="H116" s="5">
        <v>509200</v>
      </c>
      <c r="I116" s="6">
        <f>SUM(G116:H116)</f>
        <v>2313400</v>
      </c>
    </row>
    <row r="117" spans="1:9" ht="15">
      <c r="A117" s="224" t="s">
        <v>42</v>
      </c>
      <c r="B117" s="225"/>
      <c r="C117" s="225"/>
      <c r="D117" s="7">
        <f>D116</f>
        <v>1804200</v>
      </c>
      <c r="E117" s="7">
        <f>E116</f>
        <v>509200</v>
      </c>
      <c r="F117" s="7">
        <f>SUM(D117:E117)</f>
        <v>2313400</v>
      </c>
      <c r="G117" s="7">
        <f>G116</f>
        <v>1804200</v>
      </c>
      <c r="H117" s="7">
        <f>H116</f>
        <v>509200</v>
      </c>
      <c r="I117" s="7">
        <f>SUM(G117:H117)</f>
        <v>2313400</v>
      </c>
    </row>
    <row r="118" spans="1:9" ht="15">
      <c r="A118" s="224" t="s">
        <v>51</v>
      </c>
      <c r="B118" s="225"/>
      <c r="C118" s="225"/>
      <c r="D118" s="225"/>
      <c r="E118" s="225"/>
      <c r="F118" s="225"/>
      <c r="G118" s="225"/>
      <c r="H118" s="225"/>
      <c r="I118" s="226"/>
    </row>
    <row r="119" spans="1:9" ht="15">
      <c r="A119" s="15">
        <v>36</v>
      </c>
      <c r="B119" s="15">
        <v>1</v>
      </c>
      <c r="C119" s="19" t="s">
        <v>52</v>
      </c>
      <c r="D119" s="5">
        <v>1682000</v>
      </c>
      <c r="E119" s="5">
        <v>649500</v>
      </c>
      <c r="F119" s="6">
        <f>SUM(D119:E119)</f>
        <v>2331500</v>
      </c>
      <c r="G119" s="5">
        <v>1617000</v>
      </c>
      <c r="H119" s="5">
        <v>649500</v>
      </c>
      <c r="I119" s="6">
        <f>SUM(G119:H119)</f>
        <v>2266500</v>
      </c>
    </row>
    <row r="120" spans="1:9" ht="15">
      <c r="A120" s="15">
        <v>37</v>
      </c>
      <c r="B120" s="15">
        <v>2</v>
      </c>
      <c r="C120" s="19" t="s">
        <v>53</v>
      </c>
      <c r="D120" s="5">
        <v>244000</v>
      </c>
      <c r="E120" s="5">
        <v>540000</v>
      </c>
      <c r="F120" s="6">
        <f aca="true" t="shared" si="5" ref="F120:F138">SUM(D120:E120)</f>
        <v>784000</v>
      </c>
      <c r="G120" s="5"/>
      <c r="H120" s="5"/>
      <c r="I120" s="6">
        <f aca="true" t="shared" si="6" ref="I120:I128">SUM(G120:H120)</f>
        <v>0</v>
      </c>
    </row>
    <row r="121" spans="1:9" ht="15">
      <c r="A121" s="15">
        <v>38</v>
      </c>
      <c r="B121" s="15">
        <v>3</v>
      </c>
      <c r="C121" s="20" t="s">
        <v>54</v>
      </c>
      <c r="D121" s="5">
        <v>1134200</v>
      </c>
      <c r="E121" s="5">
        <v>1584000</v>
      </c>
      <c r="F121" s="6">
        <f t="shared" si="5"/>
        <v>2718200</v>
      </c>
      <c r="G121" s="5"/>
      <c r="H121" s="5"/>
      <c r="I121" s="6">
        <f t="shared" si="6"/>
        <v>0</v>
      </c>
    </row>
    <row r="122" spans="1:9" ht="15">
      <c r="A122" s="15">
        <v>39</v>
      </c>
      <c r="B122" s="21">
        <v>4</v>
      </c>
      <c r="C122" s="20" t="s">
        <v>55</v>
      </c>
      <c r="D122" s="5"/>
      <c r="E122" s="5"/>
      <c r="F122" s="6">
        <f t="shared" si="5"/>
        <v>0</v>
      </c>
      <c r="G122" s="5"/>
      <c r="H122" s="5">
        <f>706000+264000</f>
        <v>970000</v>
      </c>
      <c r="I122" s="6">
        <f t="shared" si="6"/>
        <v>970000</v>
      </c>
    </row>
    <row r="123" spans="1:9" ht="15">
      <c r="A123" s="15">
        <v>40</v>
      </c>
      <c r="B123" s="15">
        <v>5</v>
      </c>
      <c r="C123" s="20" t="s">
        <v>56</v>
      </c>
      <c r="D123" s="5">
        <v>505700</v>
      </c>
      <c r="E123" s="5">
        <v>157000</v>
      </c>
      <c r="F123" s="6">
        <f t="shared" si="5"/>
        <v>662700</v>
      </c>
      <c r="G123" s="5">
        <v>505700</v>
      </c>
      <c r="H123" s="5">
        <v>137000</v>
      </c>
      <c r="I123" s="6">
        <f t="shared" si="6"/>
        <v>642700</v>
      </c>
    </row>
    <row r="124" spans="1:9" ht="15">
      <c r="A124" s="15">
        <v>41</v>
      </c>
      <c r="B124" s="15">
        <v>6</v>
      </c>
      <c r="C124" s="20" t="s">
        <v>57</v>
      </c>
      <c r="D124" s="5">
        <v>1390940</v>
      </c>
      <c r="E124" s="5">
        <v>100000</v>
      </c>
      <c r="F124" s="6">
        <f t="shared" si="5"/>
        <v>1490940</v>
      </c>
      <c r="G124" s="5">
        <v>1390940</v>
      </c>
      <c r="H124" s="5">
        <v>100000</v>
      </c>
      <c r="I124" s="6">
        <f t="shared" si="6"/>
        <v>1490940</v>
      </c>
    </row>
    <row r="125" spans="1:9" ht="15">
      <c r="A125" s="15">
        <v>42</v>
      </c>
      <c r="B125" s="15">
        <v>7</v>
      </c>
      <c r="C125" s="20" t="s">
        <v>58</v>
      </c>
      <c r="D125" s="5"/>
      <c r="E125" s="5"/>
      <c r="F125" s="6">
        <f t="shared" si="5"/>
        <v>0</v>
      </c>
      <c r="G125" s="5">
        <v>516000</v>
      </c>
      <c r="H125" s="5">
        <v>120000</v>
      </c>
      <c r="I125" s="6">
        <f t="shared" si="6"/>
        <v>636000</v>
      </c>
    </row>
    <row r="126" spans="1:9" ht="15">
      <c r="A126" s="15">
        <v>43</v>
      </c>
      <c r="B126" s="15">
        <v>8</v>
      </c>
      <c r="C126" s="19" t="s">
        <v>59</v>
      </c>
      <c r="D126" s="5">
        <v>760000</v>
      </c>
      <c r="E126" s="5">
        <v>100000</v>
      </c>
      <c r="F126" s="6">
        <f t="shared" si="5"/>
        <v>860000</v>
      </c>
      <c r="G126" s="5">
        <v>760000</v>
      </c>
      <c r="H126" s="5">
        <v>100000</v>
      </c>
      <c r="I126" s="6">
        <f t="shared" si="6"/>
        <v>860000</v>
      </c>
    </row>
    <row r="127" spans="1:9" ht="15">
      <c r="A127" s="15">
        <v>44</v>
      </c>
      <c r="B127" s="15">
        <v>9</v>
      </c>
      <c r="C127" s="19" t="s">
        <v>60</v>
      </c>
      <c r="D127" s="5">
        <v>250500</v>
      </c>
      <c r="E127" s="5">
        <v>230000</v>
      </c>
      <c r="F127" s="6">
        <f t="shared" si="5"/>
        <v>480500</v>
      </c>
      <c r="G127" s="5">
        <v>397500</v>
      </c>
      <c r="H127" s="5">
        <v>230000</v>
      </c>
      <c r="I127" s="6">
        <f t="shared" si="6"/>
        <v>627500</v>
      </c>
    </row>
    <row r="128" spans="1:9" ht="15">
      <c r="A128" s="15">
        <v>45</v>
      </c>
      <c r="B128" s="15">
        <v>10</v>
      </c>
      <c r="C128" s="19" t="s">
        <v>61</v>
      </c>
      <c r="D128" s="5">
        <v>260400</v>
      </c>
      <c r="E128" s="5">
        <v>120000</v>
      </c>
      <c r="F128" s="6">
        <f t="shared" si="5"/>
        <v>380400</v>
      </c>
      <c r="G128" s="5">
        <v>260400</v>
      </c>
      <c r="H128" s="5">
        <v>120000</v>
      </c>
      <c r="I128" s="6">
        <f t="shared" si="6"/>
        <v>380400</v>
      </c>
    </row>
    <row r="129" spans="1:9" ht="15">
      <c r="A129" s="15">
        <v>46</v>
      </c>
      <c r="B129" s="15">
        <v>11</v>
      </c>
      <c r="C129" s="19" t="s">
        <v>62</v>
      </c>
      <c r="D129" s="5">
        <v>929591</v>
      </c>
      <c r="F129" s="6">
        <f>SUM(D129:E129)</f>
        <v>929591</v>
      </c>
      <c r="G129" s="5"/>
      <c r="H129" s="108"/>
      <c r="I129" s="6">
        <f>SUM(G129:H129)</f>
        <v>0</v>
      </c>
    </row>
    <row r="130" spans="1:9" ht="15">
      <c r="A130" s="15">
        <v>47</v>
      </c>
      <c r="B130" s="15">
        <v>12</v>
      </c>
      <c r="C130" s="19" t="s">
        <v>63</v>
      </c>
      <c r="D130" s="5"/>
      <c r="E130" s="5"/>
      <c r="F130" s="6">
        <f t="shared" si="5"/>
        <v>0</v>
      </c>
      <c r="G130" s="5"/>
      <c r="H130" s="5"/>
      <c r="I130" s="6">
        <f>SUM(G130:H130)</f>
        <v>0</v>
      </c>
    </row>
    <row r="131" spans="1:9" ht="15">
      <c r="A131" s="15">
        <v>48</v>
      </c>
      <c r="B131" s="15">
        <v>13</v>
      </c>
      <c r="C131" s="19" t="s">
        <v>64</v>
      </c>
      <c r="D131" s="5"/>
      <c r="E131" s="5"/>
      <c r="F131" s="6">
        <f t="shared" si="5"/>
        <v>0</v>
      </c>
      <c r="G131" s="5"/>
      <c r="H131" s="5"/>
      <c r="I131" s="6">
        <f>SUM(G131:H131)</f>
        <v>0</v>
      </c>
    </row>
    <row r="132" spans="1:9" ht="15">
      <c r="A132" s="15">
        <v>49</v>
      </c>
      <c r="B132" s="15">
        <v>14</v>
      </c>
      <c r="C132" s="19" t="s">
        <v>65</v>
      </c>
      <c r="D132" s="5">
        <v>127000</v>
      </c>
      <c r="E132" s="5">
        <v>125000</v>
      </c>
      <c r="F132" s="6">
        <f>SUM(D132:E132)</f>
        <v>252000</v>
      </c>
      <c r="G132" s="5">
        <v>127000</v>
      </c>
      <c r="H132" s="5">
        <v>125000</v>
      </c>
      <c r="I132" s="6">
        <f>SUM(G132:H132)</f>
        <v>252000</v>
      </c>
    </row>
    <row r="133" spans="1:9" ht="15">
      <c r="A133" s="15">
        <v>50</v>
      </c>
      <c r="B133" s="15">
        <v>15</v>
      </c>
      <c r="C133" s="78" t="s">
        <v>66</v>
      </c>
      <c r="D133" s="5"/>
      <c r="E133" s="5"/>
      <c r="F133" s="6">
        <f t="shared" si="5"/>
        <v>0</v>
      </c>
      <c r="G133" s="5"/>
      <c r="H133" s="5"/>
      <c r="I133" s="6">
        <f aca="true" t="shared" si="7" ref="I133:I138">SUM(G133:H133)</f>
        <v>0</v>
      </c>
    </row>
    <row r="134" spans="1:9" ht="15">
      <c r="A134" s="15">
        <v>51</v>
      </c>
      <c r="B134" s="15">
        <v>16</v>
      </c>
      <c r="C134" s="19" t="s">
        <v>67</v>
      </c>
      <c r="D134" s="5">
        <v>972000</v>
      </c>
      <c r="E134" s="5"/>
      <c r="F134" s="6">
        <f t="shared" si="5"/>
        <v>972000</v>
      </c>
      <c r="G134" s="5">
        <v>972000</v>
      </c>
      <c r="H134" s="5"/>
      <c r="I134" s="6">
        <f t="shared" si="7"/>
        <v>972000</v>
      </c>
    </row>
    <row r="135" spans="1:9" ht="15">
      <c r="A135" s="15">
        <v>52</v>
      </c>
      <c r="B135" s="15">
        <v>17</v>
      </c>
      <c r="C135" s="19" t="s">
        <v>68</v>
      </c>
      <c r="D135" s="5"/>
      <c r="E135" s="5"/>
      <c r="F135" s="6">
        <f t="shared" si="5"/>
        <v>0</v>
      </c>
      <c r="G135" s="5"/>
      <c r="H135" s="5">
        <v>1134000</v>
      </c>
      <c r="I135" s="6">
        <f t="shared" si="7"/>
        <v>1134000</v>
      </c>
    </row>
    <row r="136" spans="1:9" ht="15">
      <c r="A136" s="15">
        <v>53</v>
      </c>
      <c r="B136" s="15">
        <v>18</v>
      </c>
      <c r="C136" s="19" t="s">
        <v>69</v>
      </c>
      <c r="D136" s="5">
        <f>615597+604304</f>
        <v>1219901</v>
      </c>
      <c r="E136" s="5">
        <f>160000+160000</f>
        <v>320000</v>
      </c>
      <c r="F136" s="6">
        <f t="shared" si="5"/>
        <v>1539901</v>
      </c>
      <c r="G136" s="5"/>
      <c r="H136" s="5"/>
      <c r="I136" s="6">
        <f t="shared" si="7"/>
        <v>0</v>
      </c>
    </row>
    <row r="137" spans="1:9" ht="15">
      <c r="A137" s="15">
        <v>54</v>
      </c>
      <c r="B137" s="15">
        <v>19</v>
      </c>
      <c r="C137" s="19" t="s">
        <v>70</v>
      </c>
      <c r="D137" s="5"/>
      <c r="E137" s="5"/>
      <c r="F137" s="6">
        <f t="shared" si="5"/>
        <v>0</v>
      </c>
      <c r="G137" s="5"/>
      <c r="H137" s="5"/>
      <c r="I137" s="6">
        <f t="shared" si="7"/>
        <v>0</v>
      </c>
    </row>
    <row r="138" spans="1:9" ht="15">
      <c r="A138" s="15">
        <v>55</v>
      </c>
      <c r="B138" s="15">
        <v>20</v>
      </c>
      <c r="C138" s="19" t="s">
        <v>71</v>
      </c>
      <c r="D138" s="5">
        <v>530956</v>
      </c>
      <c r="E138" s="5">
        <v>296510</v>
      </c>
      <c r="F138" s="6">
        <f t="shared" si="5"/>
        <v>827466</v>
      </c>
      <c r="G138" s="5">
        <v>530956</v>
      </c>
      <c r="H138" s="5">
        <v>296510</v>
      </c>
      <c r="I138" s="6">
        <f t="shared" si="7"/>
        <v>827466</v>
      </c>
    </row>
    <row r="139" spans="1:13" ht="15">
      <c r="A139" s="224" t="s">
        <v>5</v>
      </c>
      <c r="B139" s="225"/>
      <c r="C139" s="225"/>
      <c r="D139" s="7">
        <f>SUM(D119:D138)</f>
        <v>10007188</v>
      </c>
      <c r="E139" s="7">
        <f>SUM(E119:E138)</f>
        <v>4222010</v>
      </c>
      <c r="F139" s="7">
        <f>SUM(D139:E139)</f>
        <v>14229198</v>
      </c>
      <c r="G139" s="7">
        <f>SUM(G119:G138)</f>
        <v>7077496</v>
      </c>
      <c r="H139" s="7">
        <f>SUM(H119:H138)</f>
        <v>3982010</v>
      </c>
      <c r="I139" s="7">
        <f>SUM(G139:H139)</f>
        <v>11059506</v>
      </c>
      <c r="M139" t="s">
        <v>348</v>
      </c>
    </row>
    <row r="140" spans="1:9" ht="15">
      <c r="A140" s="234" t="s">
        <v>72</v>
      </c>
      <c r="B140" s="235"/>
      <c r="C140" s="235"/>
      <c r="D140" s="235"/>
      <c r="E140" s="235"/>
      <c r="F140" s="235"/>
      <c r="G140" s="235"/>
      <c r="H140" s="235"/>
      <c r="I140" s="236"/>
    </row>
    <row r="141" spans="1:9" ht="15">
      <c r="A141" s="15">
        <v>56</v>
      </c>
      <c r="B141" s="15">
        <v>1</v>
      </c>
      <c r="C141" s="20" t="s">
        <v>73</v>
      </c>
      <c r="D141" s="5">
        <v>1357440</v>
      </c>
      <c r="E141" s="5">
        <v>842800</v>
      </c>
      <c r="F141" s="6">
        <f>SUM(D141:E141)</f>
        <v>2200240</v>
      </c>
      <c r="G141" s="5">
        <v>1357440</v>
      </c>
      <c r="H141" s="5">
        <v>842800</v>
      </c>
      <c r="I141" s="6">
        <f>SUM(G141:H141)</f>
        <v>2200240</v>
      </c>
    </row>
    <row r="142" spans="1:9" ht="15">
      <c r="A142" s="15">
        <v>57</v>
      </c>
      <c r="B142" s="15">
        <v>2</v>
      </c>
      <c r="C142" s="20" t="s">
        <v>74</v>
      </c>
      <c r="D142" s="5">
        <v>345000</v>
      </c>
      <c r="E142" s="5">
        <v>254000</v>
      </c>
      <c r="F142" s="6">
        <f>SUM(D142:E142)</f>
        <v>599000</v>
      </c>
      <c r="G142" s="5">
        <v>342000</v>
      </c>
      <c r="H142" s="5">
        <v>229000</v>
      </c>
      <c r="I142" s="6">
        <f>SUM(G142:H142)</f>
        <v>571000</v>
      </c>
    </row>
    <row r="143" spans="1:9" ht="15">
      <c r="A143" s="15">
        <v>58</v>
      </c>
      <c r="B143" s="15">
        <v>3</v>
      </c>
      <c r="C143" s="20" t="s">
        <v>75</v>
      </c>
      <c r="D143" s="5">
        <v>1134200</v>
      </c>
      <c r="E143" s="5">
        <v>1247500</v>
      </c>
      <c r="F143" s="6">
        <f aca="true" t="shared" si="8" ref="F143:F160">SUM(D143:E143)</f>
        <v>2381700</v>
      </c>
      <c r="G143" s="5"/>
      <c r="H143" s="5"/>
      <c r="I143" s="6">
        <f aca="true" t="shared" si="9" ref="I143:I160">SUM(G143:H143)</f>
        <v>0</v>
      </c>
    </row>
    <row r="144" spans="1:9" ht="15">
      <c r="A144" s="15">
        <v>59</v>
      </c>
      <c r="B144" s="15">
        <v>4</v>
      </c>
      <c r="C144" s="20" t="s">
        <v>76</v>
      </c>
      <c r="D144" s="5"/>
      <c r="E144" s="5">
        <v>300000</v>
      </c>
      <c r="F144" s="6">
        <f t="shared" si="8"/>
        <v>300000</v>
      </c>
      <c r="G144" s="5"/>
      <c r="H144" s="5">
        <v>300000</v>
      </c>
      <c r="I144" s="6">
        <f t="shared" si="9"/>
        <v>300000</v>
      </c>
    </row>
    <row r="145" spans="1:9" ht="15">
      <c r="A145" s="15">
        <v>60</v>
      </c>
      <c r="B145" s="15">
        <v>5</v>
      </c>
      <c r="C145" s="22" t="s">
        <v>77</v>
      </c>
      <c r="D145" s="5"/>
      <c r="E145" s="5"/>
      <c r="F145" s="6">
        <f t="shared" si="8"/>
        <v>0</v>
      </c>
      <c r="G145" s="5"/>
      <c r="H145" s="5"/>
      <c r="I145" s="6">
        <f t="shared" si="9"/>
        <v>0</v>
      </c>
    </row>
    <row r="146" spans="1:9" ht="15">
      <c r="A146" s="15">
        <v>61</v>
      </c>
      <c r="B146" s="15">
        <v>6</v>
      </c>
      <c r="C146" s="20" t="s">
        <v>78</v>
      </c>
      <c r="D146" s="5">
        <v>1044000</v>
      </c>
      <c r="E146" s="5">
        <v>1289500</v>
      </c>
      <c r="F146" s="6">
        <f t="shared" si="8"/>
        <v>2333500</v>
      </c>
      <c r="G146" s="5">
        <v>1044000</v>
      </c>
      <c r="H146" s="5">
        <v>1279500</v>
      </c>
      <c r="I146" s="6">
        <f t="shared" si="9"/>
        <v>2323500</v>
      </c>
    </row>
    <row r="147" spans="1:9" ht="15">
      <c r="A147" s="15">
        <v>62</v>
      </c>
      <c r="B147" s="15">
        <v>7</v>
      </c>
      <c r="C147" s="20" t="s">
        <v>79</v>
      </c>
      <c r="D147" s="5">
        <v>314000</v>
      </c>
      <c r="E147" s="5">
        <v>450000</v>
      </c>
      <c r="F147" s="6">
        <f t="shared" si="8"/>
        <v>764000</v>
      </c>
      <c r="G147" s="5">
        <v>304000</v>
      </c>
      <c r="H147" s="5">
        <v>450000</v>
      </c>
      <c r="I147" s="6">
        <f t="shared" si="9"/>
        <v>754000</v>
      </c>
    </row>
    <row r="148" spans="1:9" ht="15">
      <c r="A148" s="15">
        <v>63</v>
      </c>
      <c r="B148" s="15">
        <v>8</v>
      </c>
      <c r="C148" s="20" t="s">
        <v>80</v>
      </c>
      <c r="D148" s="5"/>
      <c r="E148" s="5"/>
      <c r="F148" s="6">
        <f t="shared" si="8"/>
        <v>0</v>
      </c>
      <c r="G148" s="5">
        <v>994000</v>
      </c>
      <c r="H148" s="5">
        <v>480700</v>
      </c>
      <c r="I148" s="6">
        <f t="shared" si="9"/>
        <v>1474700</v>
      </c>
    </row>
    <row r="149" spans="1:9" ht="15">
      <c r="A149" s="15">
        <v>64</v>
      </c>
      <c r="B149" s="15">
        <v>9</v>
      </c>
      <c r="C149" s="20" t="s">
        <v>81</v>
      </c>
      <c r="D149" s="5">
        <v>321000</v>
      </c>
      <c r="E149" s="5">
        <v>475000</v>
      </c>
      <c r="F149" s="6">
        <f t="shared" si="8"/>
        <v>796000</v>
      </c>
      <c r="G149" s="5">
        <v>320000</v>
      </c>
      <c r="H149" s="5">
        <v>477000</v>
      </c>
      <c r="I149" s="6">
        <f t="shared" si="9"/>
        <v>797000</v>
      </c>
    </row>
    <row r="150" spans="1:9" ht="15">
      <c r="A150" s="15">
        <v>65</v>
      </c>
      <c r="B150" s="15">
        <v>10</v>
      </c>
      <c r="C150" s="20" t="s">
        <v>82</v>
      </c>
      <c r="D150" s="5">
        <v>357100</v>
      </c>
      <c r="E150" s="5">
        <v>72000</v>
      </c>
      <c r="F150" s="6">
        <f t="shared" si="8"/>
        <v>429100</v>
      </c>
      <c r="G150" s="5">
        <v>357100</v>
      </c>
      <c r="H150" s="5">
        <v>72000</v>
      </c>
      <c r="I150" s="6">
        <f t="shared" si="9"/>
        <v>429100</v>
      </c>
    </row>
    <row r="151" spans="1:9" ht="15">
      <c r="A151" s="15">
        <v>66</v>
      </c>
      <c r="B151" s="15">
        <v>11</v>
      </c>
      <c r="C151" s="20" t="s">
        <v>83</v>
      </c>
      <c r="D151" s="5"/>
      <c r="E151" s="5"/>
      <c r="F151" s="6">
        <f t="shared" si="8"/>
        <v>0</v>
      </c>
      <c r="G151" s="5"/>
      <c r="H151" s="5">
        <f>1200000+200000</f>
        <v>1400000</v>
      </c>
      <c r="I151" s="6">
        <f t="shared" si="9"/>
        <v>1400000</v>
      </c>
    </row>
    <row r="152" spans="1:9" ht="15">
      <c r="A152" s="15">
        <v>67</v>
      </c>
      <c r="B152" s="15">
        <v>12</v>
      </c>
      <c r="C152" s="20" t="s">
        <v>84</v>
      </c>
      <c r="D152" s="5">
        <v>201700</v>
      </c>
      <c r="E152" s="5">
        <v>809000</v>
      </c>
      <c r="F152" s="6">
        <f t="shared" si="8"/>
        <v>1010700</v>
      </c>
      <c r="G152" s="5">
        <v>201700</v>
      </c>
      <c r="H152" s="5">
        <v>803000</v>
      </c>
      <c r="I152" s="6">
        <f t="shared" si="9"/>
        <v>1004700</v>
      </c>
    </row>
    <row r="153" spans="1:9" ht="15">
      <c r="A153" s="15">
        <v>68</v>
      </c>
      <c r="B153" s="15">
        <v>13</v>
      </c>
      <c r="C153" s="20" t="s">
        <v>85</v>
      </c>
      <c r="D153" s="18"/>
      <c r="E153" s="18">
        <v>500000</v>
      </c>
      <c r="F153" s="6">
        <f t="shared" si="8"/>
        <v>500000</v>
      </c>
      <c r="G153" s="18"/>
      <c r="H153" s="18">
        <v>500000</v>
      </c>
      <c r="I153" s="6">
        <f t="shared" si="9"/>
        <v>500000</v>
      </c>
    </row>
    <row r="154" spans="1:9" ht="15">
      <c r="A154" s="15">
        <v>69</v>
      </c>
      <c r="B154" s="15">
        <v>14</v>
      </c>
      <c r="C154" s="22" t="s">
        <v>86</v>
      </c>
      <c r="D154" s="5"/>
      <c r="E154" s="5"/>
      <c r="F154" s="6">
        <f t="shared" si="8"/>
        <v>0</v>
      </c>
      <c r="G154" s="5"/>
      <c r="H154" s="5"/>
      <c r="I154" s="6">
        <f t="shared" si="9"/>
        <v>0</v>
      </c>
    </row>
    <row r="155" spans="1:9" ht="15">
      <c r="A155" s="15">
        <v>70</v>
      </c>
      <c r="B155" s="15">
        <v>15</v>
      </c>
      <c r="C155" s="20" t="s">
        <v>87</v>
      </c>
      <c r="D155" s="5"/>
      <c r="E155" s="5">
        <v>1001000</v>
      </c>
      <c r="F155" s="6">
        <f t="shared" si="8"/>
        <v>1001000</v>
      </c>
      <c r="G155" s="5"/>
      <c r="H155" s="5"/>
      <c r="I155" s="6">
        <f t="shared" si="9"/>
        <v>0</v>
      </c>
    </row>
    <row r="156" spans="1:9" ht="15">
      <c r="A156" s="15">
        <v>71</v>
      </c>
      <c r="B156" s="15">
        <v>16</v>
      </c>
      <c r="C156" s="20" t="s">
        <v>88</v>
      </c>
      <c r="D156" s="5"/>
      <c r="E156" s="5"/>
      <c r="F156" s="6">
        <f t="shared" si="8"/>
        <v>0</v>
      </c>
      <c r="G156" s="5"/>
      <c r="H156" s="5"/>
      <c r="I156" s="6">
        <f t="shared" si="9"/>
        <v>0</v>
      </c>
    </row>
    <row r="157" spans="1:9" ht="15">
      <c r="A157" s="15">
        <v>72</v>
      </c>
      <c r="B157" s="15">
        <v>17</v>
      </c>
      <c r="C157" s="20" t="s">
        <v>89</v>
      </c>
      <c r="D157" s="5"/>
      <c r="E157" s="5">
        <v>723000</v>
      </c>
      <c r="F157" s="6">
        <f t="shared" si="8"/>
        <v>723000</v>
      </c>
      <c r="G157" s="5"/>
      <c r="H157" s="5">
        <v>723000</v>
      </c>
      <c r="I157" s="6">
        <f t="shared" si="9"/>
        <v>723000</v>
      </c>
    </row>
    <row r="158" spans="1:9" ht="15">
      <c r="A158" s="15">
        <v>73</v>
      </c>
      <c r="B158" s="15">
        <v>18</v>
      </c>
      <c r="C158" s="19" t="s">
        <v>90</v>
      </c>
      <c r="D158" s="5"/>
      <c r="E158" s="5"/>
      <c r="F158" s="6">
        <f t="shared" si="8"/>
        <v>0</v>
      </c>
      <c r="G158" s="5"/>
      <c r="H158" s="5"/>
      <c r="I158" s="6">
        <f t="shared" si="9"/>
        <v>0</v>
      </c>
    </row>
    <row r="159" spans="1:9" ht="15">
      <c r="A159" s="15">
        <v>74</v>
      </c>
      <c r="B159" s="15">
        <v>19</v>
      </c>
      <c r="C159" s="19" t="s">
        <v>91</v>
      </c>
      <c r="D159" s="5">
        <v>855000</v>
      </c>
      <c r="E159" s="5">
        <v>125000</v>
      </c>
      <c r="F159" s="6">
        <f t="shared" si="8"/>
        <v>980000</v>
      </c>
      <c r="G159" s="5">
        <v>864000</v>
      </c>
      <c r="H159" s="5">
        <v>125000</v>
      </c>
      <c r="I159" s="6">
        <f t="shared" si="9"/>
        <v>989000</v>
      </c>
    </row>
    <row r="160" spans="1:9" ht="15">
      <c r="A160" s="15">
        <v>75</v>
      </c>
      <c r="B160" s="15">
        <v>20</v>
      </c>
      <c r="C160" s="19" t="s">
        <v>92</v>
      </c>
      <c r="D160" s="5">
        <v>309000</v>
      </c>
      <c r="E160" s="5">
        <v>648200</v>
      </c>
      <c r="F160" s="6">
        <f t="shared" si="8"/>
        <v>957200</v>
      </c>
      <c r="G160" s="5">
        <v>341500</v>
      </c>
      <c r="H160" s="5">
        <v>590700</v>
      </c>
      <c r="I160" s="6">
        <f t="shared" si="9"/>
        <v>932200</v>
      </c>
    </row>
    <row r="161" spans="1:9" ht="15">
      <c r="A161" s="224" t="s">
        <v>5</v>
      </c>
      <c r="B161" s="225"/>
      <c r="C161" s="225"/>
      <c r="D161" s="7">
        <f>SUM(D141:D160)</f>
        <v>6238440</v>
      </c>
      <c r="E161" s="7">
        <f>SUM(E141:E160)</f>
        <v>8737000</v>
      </c>
      <c r="F161" s="7">
        <f>SUM(D161:E161)</f>
        <v>14975440</v>
      </c>
      <c r="G161" s="7">
        <f>SUM(G141:G160)</f>
        <v>6125740</v>
      </c>
      <c r="H161" s="7">
        <f>SUM(H141:H160)</f>
        <v>8272700</v>
      </c>
      <c r="I161" s="7">
        <f>SUM(G161:H161)</f>
        <v>14398440</v>
      </c>
    </row>
    <row r="162" spans="1:9" ht="15">
      <c r="A162" s="224" t="s">
        <v>93</v>
      </c>
      <c r="B162" s="225"/>
      <c r="C162" s="225"/>
      <c r="D162" s="225"/>
      <c r="E162" s="225"/>
      <c r="F162" s="225"/>
      <c r="G162" s="225"/>
      <c r="H162" s="225"/>
      <c r="I162" s="226"/>
    </row>
    <row r="163" spans="1:9" ht="15">
      <c r="A163" s="15">
        <v>76</v>
      </c>
      <c r="B163" s="15">
        <v>1</v>
      </c>
      <c r="C163" s="19" t="s">
        <v>94</v>
      </c>
      <c r="D163" s="5">
        <v>1383593</v>
      </c>
      <c r="E163" s="5">
        <v>102500</v>
      </c>
      <c r="F163" s="6">
        <f>SUM(D163:E163)</f>
        <v>1486093</v>
      </c>
      <c r="G163" s="5">
        <v>1383593</v>
      </c>
      <c r="H163" s="5">
        <v>102500</v>
      </c>
      <c r="I163" s="6">
        <f>SUM(G163:H163)</f>
        <v>1486093</v>
      </c>
    </row>
    <row r="164" spans="1:9" ht="15">
      <c r="A164" s="15">
        <v>77</v>
      </c>
      <c r="B164" s="15">
        <v>2</v>
      </c>
      <c r="C164" s="19" t="s">
        <v>95</v>
      </c>
      <c r="D164" s="5"/>
      <c r="E164" s="5">
        <v>25000</v>
      </c>
      <c r="F164" s="6">
        <f aca="true" t="shared" si="10" ref="F164:F185">SUM(D164:E164)</f>
        <v>25000</v>
      </c>
      <c r="G164" s="5"/>
      <c r="H164" s="5">
        <v>25000</v>
      </c>
      <c r="I164" s="6">
        <f aca="true" t="shared" si="11" ref="I164:I182">SUM(G164:H164)</f>
        <v>25000</v>
      </c>
    </row>
    <row r="165" spans="1:9" ht="15">
      <c r="A165" s="15">
        <v>78</v>
      </c>
      <c r="B165" s="15">
        <v>3</v>
      </c>
      <c r="C165" s="19" t="s">
        <v>96</v>
      </c>
      <c r="D165" s="5"/>
      <c r="E165" s="5">
        <f>260000+40000+75000</f>
        <v>375000</v>
      </c>
      <c r="F165" s="6">
        <f t="shared" si="10"/>
        <v>375000</v>
      </c>
      <c r="G165" s="5"/>
      <c r="H165" s="5">
        <f>255000+40000+75000</f>
        <v>370000</v>
      </c>
      <c r="I165" s="6">
        <f t="shared" si="11"/>
        <v>370000</v>
      </c>
    </row>
    <row r="166" spans="1:9" ht="15">
      <c r="A166" s="15">
        <v>79</v>
      </c>
      <c r="B166" s="15">
        <v>4</v>
      </c>
      <c r="C166" s="19" t="s">
        <v>97</v>
      </c>
      <c r="D166" s="5"/>
      <c r="E166" s="5"/>
      <c r="F166" s="6">
        <f t="shared" si="10"/>
        <v>0</v>
      </c>
      <c r="G166" s="5"/>
      <c r="H166" s="5">
        <v>250000</v>
      </c>
      <c r="I166" s="6">
        <f t="shared" si="11"/>
        <v>250000</v>
      </c>
    </row>
    <row r="167" spans="1:9" ht="15">
      <c r="A167" s="15">
        <v>80</v>
      </c>
      <c r="B167" s="15">
        <v>5</v>
      </c>
      <c r="C167" s="19" t="s">
        <v>98</v>
      </c>
      <c r="D167" s="5"/>
      <c r="E167" s="5"/>
      <c r="F167" s="6">
        <f t="shared" si="10"/>
        <v>0</v>
      </c>
      <c r="G167" s="5"/>
      <c r="H167" s="5"/>
      <c r="I167" s="6">
        <f t="shared" si="11"/>
        <v>0</v>
      </c>
    </row>
    <row r="168" spans="1:9" ht="15">
      <c r="A168" s="15">
        <v>81</v>
      </c>
      <c r="B168" s="15">
        <v>6</v>
      </c>
      <c r="C168" s="20" t="s">
        <v>99</v>
      </c>
      <c r="D168" s="5"/>
      <c r="E168" s="5"/>
      <c r="F168" s="6">
        <f t="shared" si="10"/>
        <v>0</v>
      </c>
      <c r="G168" s="5">
        <f>20000000*3</f>
        <v>60000000</v>
      </c>
      <c r="H168" s="5"/>
      <c r="I168" s="6">
        <f t="shared" si="11"/>
        <v>60000000</v>
      </c>
    </row>
    <row r="169" spans="1:9" ht="15">
      <c r="A169" s="15">
        <v>82</v>
      </c>
      <c r="B169" s="15">
        <v>7</v>
      </c>
      <c r="C169" s="19" t="s">
        <v>100</v>
      </c>
      <c r="D169" s="5"/>
      <c r="E169" s="5"/>
      <c r="F169" s="6">
        <f t="shared" si="10"/>
        <v>0</v>
      </c>
      <c r="G169" s="5"/>
      <c r="H169" s="5"/>
      <c r="I169" s="6">
        <f t="shared" si="11"/>
        <v>0</v>
      </c>
    </row>
    <row r="170" spans="1:9" ht="15">
      <c r="A170" s="15">
        <v>83</v>
      </c>
      <c r="B170" s="15">
        <v>8</v>
      </c>
      <c r="C170" s="19" t="s">
        <v>101</v>
      </c>
      <c r="D170" s="5"/>
      <c r="E170" s="5"/>
      <c r="F170" s="6">
        <f t="shared" si="10"/>
        <v>0</v>
      </c>
      <c r="G170" s="5"/>
      <c r="H170" s="5"/>
      <c r="I170" s="6">
        <f t="shared" si="11"/>
        <v>0</v>
      </c>
    </row>
    <row r="171" spans="1:9" ht="15">
      <c r="A171" s="15">
        <v>84</v>
      </c>
      <c r="B171" s="15">
        <v>9</v>
      </c>
      <c r="C171" s="19" t="s">
        <v>102</v>
      </c>
      <c r="D171" s="5"/>
      <c r="E171" s="5"/>
      <c r="F171" s="6">
        <f t="shared" si="10"/>
        <v>0</v>
      </c>
      <c r="G171" s="5"/>
      <c r="H171" s="5"/>
      <c r="I171" s="6">
        <f t="shared" si="11"/>
        <v>0</v>
      </c>
    </row>
    <row r="172" spans="1:9" ht="15">
      <c r="A172" s="15">
        <v>85</v>
      </c>
      <c r="B172" s="15">
        <v>10</v>
      </c>
      <c r="C172" s="19" t="s">
        <v>103</v>
      </c>
      <c r="D172" s="5"/>
      <c r="E172" s="5"/>
      <c r="F172" s="6">
        <f t="shared" si="10"/>
        <v>0</v>
      </c>
      <c r="G172" s="5"/>
      <c r="H172" s="5"/>
      <c r="I172" s="6">
        <f t="shared" si="11"/>
        <v>0</v>
      </c>
    </row>
    <row r="173" spans="1:9" ht="15">
      <c r="A173" s="15">
        <v>86</v>
      </c>
      <c r="B173" s="15">
        <v>11</v>
      </c>
      <c r="C173" s="19" t="s">
        <v>104</v>
      </c>
      <c r="D173" s="5">
        <v>5331045</v>
      </c>
      <c r="E173" s="5"/>
      <c r="F173" s="6">
        <f t="shared" si="10"/>
        <v>5331045</v>
      </c>
      <c r="G173" s="5">
        <v>5629866</v>
      </c>
      <c r="H173" s="5"/>
      <c r="I173" s="6">
        <f t="shared" si="11"/>
        <v>5629866</v>
      </c>
    </row>
    <row r="174" spans="1:9" ht="15">
      <c r="A174" s="15">
        <v>87</v>
      </c>
      <c r="B174" s="15">
        <v>12</v>
      </c>
      <c r="C174" s="19" t="s">
        <v>105</v>
      </c>
      <c r="D174" s="5"/>
      <c r="E174" s="5"/>
      <c r="F174" s="6">
        <f t="shared" si="10"/>
        <v>0</v>
      </c>
      <c r="G174" s="5"/>
      <c r="H174" s="5"/>
      <c r="I174" s="6">
        <f t="shared" si="11"/>
        <v>0</v>
      </c>
    </row>
    <row r="175" spans="1:9" ht="15">
      <c r="A175" s="15">
        <v>88</v>
      </c>
      <c r="B175" s="15">
        <v>13</v>
      </c>
      <c r="C175" s="19" t="s">
        <v>106</v>
      </c>
      <c r="D175" s="5"/>
      <c r="E175" s="5"/>
      <c r="F175" s="6">
        <f t="shared" si="10"/>
        <v>0</v>
      </c>
      <c r="G175" s="5"/>
      <c r="H175" s="5"/>
      <c r="I175" s="6">
        <f t="shared" si="11"/>
        <v>0</v>
      </c>
    </row>
    <row r="176" spans="1:9" ht="15">
      <c r="A176" s="15">
        <v>89</v>
      </c>
      <c r="B176" s="15">
        <v>14</v>
      </c>
      <c r="C176" s="19" t="s">
        <v>251</v>
      </c>
      <c r="D176" s="5"/>
      <c r="E176" s="5">
        <v>62000</v>
      </c>
      <c r="F176" s="6">
        <f t="shared" si="10"/>
        <v>62000</v>
      </c>
      <c r="G176" s="5"/>
      <c r="H176" s="5">
        <v>62000</v>
      </c>
      <c r="I176" s="6">
        <f t="shared" si="11"/>
        <v>62000</v>
      </c>
    </row>
    <row r="177" spans="1:9" ht="15">
      <c r="A177" s="15">
        <v>90</v>
      </c>
      <c r="B177" s="15">
        <v>15</v>
      </c>
      <c r="C177" s="19" t="s">
        <v>108</v>
      </c>
      <c r="D177" s="5">
        <v>477000</v>
      </c>
      <c r="E177" s="5">
        <v>460000</v>
      </c>
      <c r="F177" s="6">
        <f t="shared" si="10"/>
        <v>937000</v>
      </c>
      <c r="G177" s="5">
        <v>477000</v>
      </c>
      <c r="H177" s="5">
        <v>460000</v>
      </c>
      <c r="I177" s="6">
        <f t="shared" si="11"/>
        <v>937000</v>
      </c>
    </row>
    <row r="178" spans="1:9" ht="15">
      <c r="A178" s="15">
        <v>91</v>
      </c>
      <c r="B178" s="15">
        <v>16</v>
      </c>
      <c r="C178" s="19" t="s">
        <v>109</v>
      </c>
      <c r="D178" s="5">
        <v>788100</v>
      </c>
      <c r="E178" s="5">
        <f>325000+401000</f>
        <v>726000</v>
      </c>
      <c r="F178" s="6">
        <f t="shared" si="10"/>
        <v>1514100</v>
      </c>
      <c r="G178" s="5">
        <v>788100</v>
      </c>
      <c r="H178" s="5">
        <f>401000+325000</f>
        <v>726000</v>
      </c>
      <c r="I178" s="6">
        <f t="shared" si="11"/>
        <v>1514100</v>
      </c>
    </row>
    <row r="179" spans="1:9" ht="15">
      <c r="A179" s="15">
        <v>92</v>
      </c>
      <c r="B179" s="15">
        <v>17</v>
      </c>
      <c r="C179" s="19" t="s">
        <v>110</v>
      </c>
      <c r="D179" s="5"/>
      <c r="E179" s="5"/>
      <c r="F179" s="6">
        <f t="shared" si="10"/>
        <v>0</v>
      </c>
      <c r="G179" s="5"/>
      <c r="H179" s="5"/>
      <c r="I179" s="6">
        <f t="shared" si="11"/>
        <v>0</v>
      </c>
    </row>
    <row r="180" spans="1:9" ht="15">
      <c r="A180" s="15">
        <v>93</v>
      </c>
      <c r="B180" s="15">
        <v>18</v>
      </c>
      <c r="C180" s="19" t="s">
        <v>111</v>
      </c>
      <c r="D180" s="5"/>
      <c r="E180" s="5"/>
      <c r="F180" s="6">
        <f t="shared" si="10"/>
        <v>0</v>
      </c>
      <c r="G180" s="5"/>
      <c r="H180" s="5"/>
      <c r="I180" s="6">
        <f t="shared" si="11"/>
        <v>0</v>
      </c>
    </row>
    <row r="181" spans="1:9" ht="15">
      <c r="A181" s="15">
        <v>94</v>
      </c>
      <c r="B181" s="15">
        <v>19</v>
      </c>
      <c r="C181" s="19" t="s">
        <v>112</v>
      </c>
      <c r="D181" s="5"/>
      <c r="E181" s="5"/>
      <c r="F181" s="6">
        <f t="shared" si="10"/>
        <v>0</v>
      </c>
      <c r="G181" s="5"/>
      <c r="H181" s="5"/>
      <c r="I181" s="6">
        <f t="shared" si="11"/>
        <v>0</v>
      </c>
    </row>
    <row r="182" spans="1:9" ht="15">
      <c r="A182" s="15">
        <v>95</v>
      </c>
      <c r="B182" s="15">
        <v>20</v>
      </c>
      <c r="C182" s="19" t="s">
        <v>113</v>
      </c>
      <c r="D182" s="5"/>
      <c r="E182" s="5"/>
      <c r="F182" s="6">
        <f t="shared" si="10"/>
        <v>0</v>
      </c>
      <c r="G182" s="5"/>
      <c r="H182" s="5"/>
      <c r="I182" s="6">
        <f t="shared" si="11"/>
        <v>0</v>
      </c>
    </row>
    <row r="183" spans="1:9" ht="15">
      <c r="A183" s="15">
        <v>96</v>
      </c>
      <c r="B183" s="15">
        <v>21</v>
      </c>
      <c r="C183" s="19" t="s">
        <v>114</v>
      </c>
      <c r="D183" s="5"/>
      <c r="E183" s="5"/>
      <c r="F183" s="6">
        <f>SUM(D183:E183)</f>
        <v>0</v>
      </c>
      <c r="G183" s="5"/>
      <c r="H183" s="5"/>
      <c r="I183" s="6">
        <f>SUM(G183:H183)</f>
        <v>0</v>
      </c>
    </row>
    <row r="184" spans="1:9" ht="15">
      <c r="A184" s="15">
        <v>97</v>
      </c>
      <c r="B184" s="15">
        <v>22</v>
      </c>
      <c r="C184" s="19" t="s">
        <v>115</v>
      </c>
      <c r="D184" s="5"/>
      <c r="E184" s="5"/>
      <c r="F184" s="6">
        <f t="shared" si="10"/>
        <v>0</v>
      </c>
      <c r="G184" s="5"/>
      <c r="H184" s="5"/>
      <c r="I184" s="6">
        <f>SUM(G184:H184)</f>
        <v>0</v>
      </c>
    </row>
    <row r="185" spans="1:9" ht="15">
      <c r="A185" s="15">
        <v>98</v>
      </c>
      <c r="B185" s="15">
        <v>23</v>
      </c>
      <c r="C185" s="19" t="s">
        <v>116</v>
      </c>
      <c r="D185" s="5"/>
      <c r="E185" s="5"/>
      <c r="F185" s="6">
        <f t="shared" si="10"/>
        <v>0</v>
      </c>
      <c r="G185" s="5">
        <v>40000</v>
      </c>
      <c r="H185" s="5">
        <v>1500</v>
      </c>
      <c r="I185" s="6">
        <f>SUM(G185:H185)</f>
        <v>41500</v>
      </c>
    </row>
    <row r="186" spans="1:9" ht="15">
      <c r="A186" s="224" t="s">
        <v>5</v>
      </c>
      <c r="B186" s="225"/>
      <c r="C186" s="225"/>
      <c r="D186" s="7">
        <f>SUM(D163:D185)</f>
        <v>7979738</v>
      </c>
      <c r="E186" s="7">
        <f>SUM(E163:E185)</f>
        <v>1750500</v>
      </c>
      <c r="F186" s="7">
        <f>SUM(D186:E186)</f>
        <v>9730238</v>
      </c>
      <c r="G186" s="7">
        <f>SUM(G163:G185)</f>
        <v>68318559</v>
      </c>
      <c r="H186" s="7">
        <f>SUM(H163:H185)</f>
        <v>1997000</v>
      </c>
      <c r="I186" s="7">
        <f>SUM(G186:H186)</f>
        <v>70315559</v>
      </c>
    </row>
    <row r="187" spans="1:9" ht="15">
      <c r="A187" s="224" t="s">
        <v>117</v>
      </c>
      <c r="B187" s="225"/>
      <c r="C187" s="225"/>
      <c r="D187" s="225"/>
      <c r="E187" s="225"/>
      <c r="F187" s="225"/>
      <c r="G187" s="225"/>
      <c r="H187" s="225"/>
      <c r="I187" s="226"/>
    </row>
    <row r="188" spans="1:9" ht="15">
      <c r="A188" s="15">
        <v>99</v>
      </c>
      <c r="B188" s="15">
        <v>1</v>
      </c>
      <c r="C188" s="10" t="s">
        <v>118</v>
      </c>
      <c r="D188" s="5"/>
      <c r="E188" s="5">
        <v>50000</v>
      </c>
      <c r="F188" s="6">
        <f>SUM(D188:E188)</f>
        <v>50000</v>
      </c>
      <c r="G188" s="5"/>
      <c r="H188" s="5"/>
      <c r="I188" s="6">
        <f>SUM(G188:H188)</f>
        <v>0</v>
      </c>
    </row>
    <row r="189" spans="1:9" ht="15">
      <c r="A189" s="15">
        <v>100</v>
      </c>
      <c r="B189" s="15">
        <v>2</v>
      </c>
      <c r="C189" s="17" t="s">
        <v>119</v>
      </c>
      <c r="D189" s="5">
        <v>374475</v>
      </c>
      <c r="E189" s="5">
        <v>72200</v>
      </c>
      <c r="F189" s="6">
        <f aca="true" t="shared" si="12" ref="F189:F240">SUM(D189:E189)</f>
        <v>446675</v>
      </c>
      <c r="G189" s="5">
        <v>374475</v>
      </c>
      <c r="H189" s="5">
        <v>72200</v>
      </c>
      <c r="I189" s="6">
        <f aca="true" t="shared" si="13" ref="I189:I197">SUM(G189:H189)</f>
        <v>446675</v>
      </c>
    </row>
    <row r="190" spans="1:9" ht="15">
      <c r="A190" s="15">
        <v>101</v>
      </c>
      <c r="B190" s="15">
        <v>3</v>
      </c>
      <c r="C190" s="17" t="s">
        <v>120</v>
      </c>
      <c r="D190" s="5"/>
      <c r="E190" s="5">
        <v>80000</v>
      </c>
      <c r="F190" s="6">
        <f t="shared" si="12"/>
        <v>80000</v>
      </c>
      <c r="G190" s="5"/>
      <c r="H190" s="5">
        <v>90000</v>
      </c>
      <c r="I190" s="6">
        <f t="shared" si="13"/>
        <v>90000</v>
      </c>
    </row>
    <row r="191" spans="1:9" ht="15">
      <c r="A191" s="15">
        <v>102</v>
      </c>
      <c r="B191" s="15">
        <v>4</v>
      </c>
      <c r="C191" s="10" t="s">
        <v>121</v>
      </c>
      <c r="D191" s="5"/>
      <c r="E191" s="5"/>
      <c r="F191" s="6">
        <f t="shared" si="12"/>
        <v>0</v>
      </c>
      <c r="G191" s="5">
        <f>512000+402000</f>
        <v>914000</v>
      </c>
      <c r="H191" s="5">
        <v>84000</v>
      </c>
      <c r="I191" s="6">
        <f t="shared" si="13"/>
        <v>998000</v>
      </c>
    </row>
    <row r="192" spans="1:9" ht="15">
      <c r="A192" s="15">
        <v>103</v>
      </c>
      <c r="B192" s="15">
        <v>5</v>
      </c>
      <c r="C192" s="23" t="s">
        <v>122</v>
      </c>
      <c r="D192" s="5"/>
      <c r="E192" s="5"/>
      <c r="F192" s="6">
        <f t="shared" si="12"/>
        <v>0</v>
      </c>
      <c r="G192" s="5"/>
      <c r="H192" s="5"/>
      <c r="I192" s="6">
        <f t="shared" si="13"/>
        <v>0</v>
      </c>
    </row>
    <row r="193" spans="1:9" ht="15">
      <c r="A193" s="15">
        <v>104</v>
      </c>
      <c r="B193" s="15">
        <v>6</v>
      </c>
      <c r="C193" s="23" t="s">
        <v>123</v>
      </c>
      <c r="D193" s="5">
        <v>195300</v>
      </c>
      <c r="E193" s="5">
        <v>340000</v>
      </c>
      <c r="F193" s="6">
        <f t="shared" si="12"/>
        <v>535300</v>
      </c>
      <c r="G193" s="5">
        <v>195300</v>
      </c>
      <c r="H193" s="5">
        <v>340000</v>
      </c>
      <c r="I193" s="6">
        <f t="shared" si="13"/>
        <v>535300</v>
      </c>
    </row>
    <row r="194" spans="1:9" ht="15">
      <c r="A194" s="15">
        <v>105</v>
      </c>
      <c r="B194" s="15">
        <v>7</v>
      </c>
      <c r="C194" s="23" t="s">
        <v>124</v>
      </c>
      <c r="D194" s="5"/>
      <c r="E194" s="5"/>
      <c r="F194" s="6">
        <f t="shared" si="12"/>
        <v>0</v>
      </c>
      <c r="G194" s="5"/>
      <c r="H194" s="5"/>
      <c r="I194" s="6">
        <f t="shared" si="13"/>
        <v>0</v>
      </c>
    </row>
    <row r="195" spans="1:9" ht="15">
      <c r="A195" s="15">
        <v>106</v>
      </c>
      <c r="B195" s="15">
        <v>8</v>
      </c>
      <c r="C195" s="23" t="s">
        <v>125</v>
      </c>
      <c r="D195" s="5"/>
      <c r="E195" s="5"/>
      <c r="F195" s="6">
        <f t="shared" si="12"/>
        <v>0</v>
      </c>
      <c r="G195" s="5"/>
      <c r="H195" s="5"/>
      <c r="I195" s="6">
        <f t="shared" si="13"/>
        <v>0</v>
      </c>
    </row>
    <row r="196" spans="1:9" ht="15">
      <c r="A196" s="15">
        <v>107</v>
      </c>
      <c r="B196" s="15">
        <v>9</v>
      </c>
      <c r="C196" s="23" t="s">
        <v>126</v>
      </c>
      <c r="D196" s="5"/>
      <c r="E196" s="5"/>
      <c r="F196" s="6">
        <f t="shared" si="12"/>
        <v>0</v>
      </c>
      <c r="G196" s="5"/>
      <c r="H196" s="5"/>
      <c r="I196" s="6">
        <f t="shared" si="13"/>
        <v>0</v>
      </c>
    </row>
    <row r="197" spans="1:9" ht="15">
      <c r="A197" s="15">
        <v>108</v>
      </c>
      <c r="B197" s="15">
        <v>10</v>
      </c>
      <c r="C197" s="23" t="s">
        <v>127</v>
      </c>
      <c r="D197" s="5"/>
      <c r="E197" s="5">
        <f>309000+306000+306000</f>
        <v>921000</v>
      </c>
      <c r="F197" s="6">
        <f t="shared" si="12"/>
        <v>921000</v>
      </c>
      <c r="G197" s="5"/>
      <c r="H197" s="5"/>
      <c r="I197" s="6">
        <f t="shared" si="13"/>
        <v>0</v>
      </c>
    </row>
    <row r="198" spans="1:9" ht="15">
      <c r="A198" s="15">
        <v>109</v>
      </c>
      <c r="B198" s="15">
        <v>11</v>
      </c>
      <c r="C198" s="23" t="s">
        <v>129</v>
      </c>
      <c r="D198" s="5"/>
      <c r="E198" s="5"/>
      <c r="F198" s="6">
        <f>SUM(D198:E198)</f>
        <v>0</v>
      </c>
      <c r="G198" s="5"/>
      <c r="H198" s="5"/>
      <c r="I198" s="6">
        <f>SUM(G198:H198)</f>
        <v>0</v>
      </c>
    </row>
    <row r="199" spans="1:9" ht="15">
      <c r="A199" s="15">
        <v>110</v>
      </c>
      <c r="B199" s="15">
        <v>12</v>
      </c>
      <c r="C199" s="24" t="s">
        <v>128</v>
      </c>
      <c r="D199" s="86"/>
      <c r="E199" s="5">
        <v>400000</v>
      </c>
      <c r="F199" s="6">
        <f>SUM(D199:E199)</f>
        <v>400000</v>
      </c>
      <c r="G199" s="86"/>
      <c r="H199" s="5">
        <v>400000</v>
      </c>
      <c r="I199" s="6">
        <f>SUM(G199:H199)</f>
        <v>400000</v>
      </c>
    </row>
    <row r="200" spans="1:9" ht="15">
      <c r="A200" s="15">
        <v>111</v>
      </c>
      <c r="B200" s="15">
        <v>13</v>
      </c>
      <c r="C200" s="23" t="s">
        <v>130</v>
      </c>
      <c r="D200" s="5"/>
      <c r="E200" s="5"/>
      <c r="F200" s="6">
        <f t="shared" si="12"/>
        <v>0</v>
      </c>
      <c r="G200" s="5">
        <v>992800</v>
      </c>
      <c r="H200" s="5">
        <v>1016000</v>
      </c>
      <c r="I200" s="6">
        <f aca="true" t="shared" si="14" ref="I200:I240">SUM(G200:H200)</f>
        <v>2008800</v>
      </c>
    </row>
    <row r="201" spans="1:9" ht="15">
      <c r="A201" s="15">
        <v>112</v>
      </c>
      <c r="B201" s="15">
        <v>14</v>
      </c>
      <c r="C201" s="23" t="s">
        <v>131</v>
      </c>
      <c r="D201" s="5">
        <v>550000</v>
      </c>
      <c r="E201" s="5">
        <v>410000</v>
      </c>
      <c r="F201" s="6">
        <f t="shared" si="12"/>
        <v>960000</v>
      </c>
      <c r="G201" s="5"/>
      <c r="H201" s="5"/>
      <c r="I201" s="6">
        <f t="shared" si="14"/>
        <v>0</v>
      </c>
    </row>
    <row r="202" spans="1:9" ht="15">
      <c r="A202" s="15">
        <v>113</v>
      </c>
      <c r="B202" s="15">
        <v>15</v>
      </c>
      <c r="C202" s="23" t="s">
        <v>132</v>
      </c>
      <c r="D202" s="5">
        <v>46000</v>
      </c>
      <c r="E202" s="5"/>
      <c r="F202" s="6">
        <f t="shared" si="12"/>
        <v>46000</v>
      </c>
      <c r="G202" s="5">
        <v>46000</v>
      </c>
      <c r="H202" s="5"/>
      <c r="I202" s="6">
        <f t="shared" si="14"/>
        <v>46000</v>
      </c>
    </row>
    <row r="203" spans="1:9" ht="15">
      <c r="A203" s="15">
        <v>114</v>
      </c>
      <c r="B203" s="15">
        <v>16</v>
      </c>
      <c r="C203" s="23" t="s">
        <v>133</v>
      </c>
      <c r="D203" s="5"/>
      <c r="E203" s="5"/>
      <c r="F203" s="6">
        <f t="shared" si="12"/>
        <v>0</v>
      </c>
      <c r="G203" s="5"/>
      <c r="H203" s="5"/>
      <c r="I203" s="6">
        <f t="shared" si="14"/>
        <v>0</v>
      </c>
    </row>
    <row r="204" spans="1:9" ht="15">
      <c r="A204" s="15">
        <v>115</v>
      </c>
      <c r="B204" s="15">
        <v>17</v>
      </c>
      <c r="C204" s="23" t="s">
        <v>134</v>
      </c>
      <c r="D204" s="5"/>
      <c r="E204" s="5">
        <v>17000</v>
      </c>
      <c r="F204" s="6">
        <f t="shared" si="12"/>
        <v>17000</v>
      </c>
      <c r="G204" s="5"/>
      <c r="H204" s="5">
        <v>17000</v>
      </c>
      <c r="I204" s="6">
        <f t="shared" si="14"/>
        <v>17000</v>
      </c>
    </row>
    <row r="205" spans="1:9" ht="15">
      <c r="A205" s="15">
        <v>116</v>
      </c>
      <c r="B205" s="15">
        <v>18</v>
      </c>
      <c r="C205" s="23" t="s">
        <v>135</v>
      </c>
      <c r="D205" s="5"/>
      <c r="E205" s="5"/>
      <c r="F205" s="6">
        <f t="shared" si="12"/>
        <v>0</v>
      </c>
      <c r="G205" s="5"/>
      <c r="H205" s="5"/>
      <c r="I205" s="6">
        <f t="shared" si="14"/>
        <v>0</v>
      </c>
    </row>
    <row r="206" spans="1:9" ht="15">
      <c r="A206" s="15">
        <v>117</v>
      </c>
      <c r="B206" s="15">
        <v>19</v>
      </c>
      <c r="C206" s="23" t="s">
        <v>136</v>
      </c>
      <c r="D206" s="5"/>
      <c r="E206" s="5">
        <v>187000</v>
      </c>
      <c r="F206" s="6">
        <f t="shared" si="12"/>
        <v>187000</v>
      </c>
      <c r="G206" s="5"/>
      <c r="H206" s="5">
        <v>187000</v>
      </c>
      <c r="I206" s="6">
        <f t="shared" si="14"/>
        <v>187000</v>
      </c>
    </row>
    <row r="207" spans="1:9" ht="15">
      <c r="A207" s="15">
        <v>118</v>
      </c>
      <c r="B207" s="15">
        <v>20</v>
      </c>
      <c r="C207" s="23" t="s">
        <v>137</v>
      </c>
      <c r="D207" s="5"/>
      <c r="E207" s="5">
        <v>812000</v>
      </c>
      <c r="F207" s="6">
        <f t="shared" si="12"/>
        <v>812000</v>
      </c>
      <c r="G207" s="5"/>
      <c r="H207" s="5"/>
      <c r="I207" s="6">
        <f t="shared" si="14"/>
        <v>0</v>
      </c>
    </row>
    <row r="208" spans="1:9" ht="15">
      <c r="A208" s="15">
        <v>119</v>
      </c>
      <c r="B208" s="15">
        <v>21</v>
      </c>
      <c r="C208" s="23" t="s">
        <v>138</v>
      </c>
      <c r="D208" s="5"/>
      <c r="E208" s="5"/>
      <c r="F208" s="6">
        <f t="shared" si="12"/>
        <v>0</v>
      </c>
      <c r="G208" s="5"/>
      <c r="H208" s="5"/>
      <c r="I208" s="6">
        <f t="shared" si="14"/>
        <v>0</v>
      </c>
    </row>
    <row r="209" spans="1:9" ht="15">
      <c r="A209" s="15">
        <v>120</v>
      </c>
      <c r="B209" s="15">
        <v>22</v>
      </c>
      <c r="C209" s="23" t="s">
        <v>139</v>
      </c>
      <c r="D209" s="5"/>
      <c r="E209" s="5">
        <v>170000</v>
      </c>
      <c r="F209" s="6">
        <f t="shared" si="12"/>
        <v>170000</v>
      </c>
      <c r="G209" s="5"/>
      <c r="H209" s="5">
        <v>170000</v>
      </c>
      <c r="I209" s="6">
        <f t="shared" si="14"/>
        <v>170000</v>
      </c>
    </row>
    <row r="210" spans="1:9" ht="15">
      <c r="A210" s="15">
        <v>121</v>
      </c>
      <c r="B210" s="15">
        <v>23</v>
      </c>
      <c r="C210" s="23" t="s">
        <v>140</v>
      </c>
      <c r="D210" s="5"/>
      <c r="E210" s="5"/>
      <c r="F210" s="6">
        <f t="shared" si="12"/>
        <v>0</v>
      </c>
      <c r="G210" s="5"/>
      <c r="H210" s="5"/>
      <c r="I210" s="6">
        <f t="shared" si="14"/>
        <v>0</v>
      </c>
    </row>
    <row r="211" spans="1:9" ht="15">
      <c r="A211" s="15">
        <v>122</v>
      </c>
      <c r="B211" s="15">
        <v>24</v>
      </c>
      <c r="C211" s="23" t="s">
        <v>141</v>
      </c>
      <c r="D211" s="5">
        <v>154000</v>
      </c>
      <c r="E211" s="5">
        <v>695000</v>
      </c>
      <c r="F211" s="6">
        <f t="shared" si="12"/>
        <v>849000</v>
      </c>
      <c r="G211" s="5">
        <v>154000</v>
      </c>
      <c r="H211" s="5">
        <v>695000</v>
      </c>
      <c r="I211" s="6">
        <f t="shared" si="14"/>
        <v>849000</v>
      </c>
    </row>
    <row r="212" spans="1:9" ht="15">
      <c r="A212" s="15">
        <v>123</v>
      </c>
      <c r="B212" s="15">
        <v>25</v>
      </c>
      <c r="C212" s="23" t="s">
        <v>142</v>
      </c>
      <c r="D212" s="5">
        <v>496000</v>
      </c>
      <c r="E212" s="5">
        <v>217000</v>
      </c>
      <c r="F212" s="6">
        <f t="shared" si="12"/>
        <v>713000</v>
      </c>
      <c r="G212" s="5">
        <v>496000</v>
      </c>
      <c r="H212" s="5">
        <v>100000</v>
      </c>
      <c r="I212" s="6">
        <f t="shared" si="14"/>
        <v>596000</v>
      </c>
    </row>
    <row r="213" spans="1:9" ht="15">
      <c r="A213" s="15">
        <v>124</v>
      </c>
      <c r="B213" s="15">
        <v>26</v>
      </c>
      <c r="C213" s="23" t="s">
        <v>143</v>
      </c>
      <c r="D213" s="5"/>
      <c r="E213" s="5"/>
      <c r="F213" s="6">
        <f t="shared" si="12"/>
        <v>0</v>
      </c>
      <c r="G213" s="5"/>
      <c r="H213" s="5"/>
      <c r="I213" s="6">
        <f t="shared" si="14"/>
        <v>0</v>
      </c>
    </row>
    <row r="214" spans="1:9" ht="15">
      <c r="A214" s="15">
        <v>125</v>
      </c>
      <c r="B214" s="15">
        <v>27</v>
      </c>
      <c r="C214" s="23" t="s">
        <v>144</v>
      </c>
      <c r="D214" s="5">
        <v>1185000</v>
      </c>
      <c r="E214" s="5"/>
      <c r="F214" s="6">
        <f t="shared" si="12"/>
        <v>1185000</v>
      </c>
      <c r="G214" s="5">
        <v>830000</v>
      </c>
      <c r="H214" s="5"/>
      <c r="I214" s="6">
        <f t="shared" si="14"/>
        <v>830000</v>
      </c>
    </row>
    <row r="215" spans="1:9" ht="15">
      <c r="A215" s="15">
        <v>126</v>
      </c>
      <c r="B215" s="15">
        <v>28</v>
      </c>
      <c r="C215" s="23" t="s">
        <v>145</v>
      </c>
      <c r="D215" s="5"/>
      <c r="E215" s="5"/>
      <c r="F215" s="6">
        <f t="shared" si="12"/>
        <v>0</v>
      </c>
      <c r="G215" s="5"/>
      <c r="H215" s="5"/>
      <c r="I215" s="6">
        <f t="shared" si="14"/>
        <v>0</v>
      </c>
    </row>
    <row r="216" spans="1:9" ht="15">
      <c r="A216" s="15">
        <v>127</v>
      </c>
      <c r="B216" s="15">
        <v>29</v>
      </c>
      <c r="C216" s="23" t="s">
        <v>146</v>
      </c>
      <c r="D216" s="5"/>
      <c r="E216" s="5"/>
      <c r="F216" s="6">
        <f t="shared" si="12"/>
        <v>0</v>
      </c>
      <c r="G216" s="5"/>
      <c r="H216" s="5"/>
      <c r="I216" s="6">
        <f t="shared" si="14"/>
        <v>0</v>
      </c>
    </row>
    <row r="217" spans="1:9" ht="15">
      <c r="A217" s="15">
        <v>128</v>
      </c>
      <c r="B217" s="15">
        <v>30</v>
      </c>
      <c r="C217" s="23" t="s">
        <v>147</v>
      </c>
      <c r="D217" s="5"/>
      <c r="E217" s="5"/>
      <c r="F217" s="6">
        <f t="shared" si="12"/>
        <v>0</v>
      </c>
      <c r="G217" s="5"/>
      <c r="H217" s="5"/>
      <c r="I217" s="6">
        <f t="shared" si="14"/>
        <v>0</v>
      </c>
    </row>
    <row r="218" spans="1:9" ht="15">
      <c r="A218" s="15">
        <v>129</v>
      </c>
      <c r="B218" s="15">
        <v>31</v>
      </c>
      <c r="C218" s="23" t="s">
        <v>148</v>
      </c>
      <c r="D218" s="5"/>
      <c r="E218" s="5"/>
      <c r="F218" s="6">
        <f t="shared" si="12"/>
        <v>0</v>
      </c>
      <c r="G218" s="5"/>
      <c r="H218" s="5"/>
      <c r="I218" s="6">
        <f t="shared" si="14"/>
        <v>0</v>
      </c>
    </row>
    <row r="219" spans="1:9" ht="15">
      <c r="A219" s="15">
        <v>130</v>
      </c>
      <c r="B219" s="15">
        <v>32</v>
      </c>
      <c r="C219" s="23" t="s">
        <v>149</v>
      </c>
      <c r="D219" s="5"/>
      <c r="E219" s="5">
        <v>110000</v>
      </c>
      <c r="F219" s="6">
        <f t="shared" si="12"/>
        <v>110000</v>
      </c>
      <c r="G219" s="5"/>
      <c r="H219" s="5">
        <v>110000</v>
      </c>
      <c r="I219" s="6">
        <f t="shared" si="14"/>
        <v>110000</v>
      </c>
    </row>
    <row r="220" spans="1:9" ht="15">
      <c r="A220" s="15">
        <v>131</v>
      </c>
      <c r="B220" s="15">
        <v>33</v>
      </c>
      <c r="C220" s="23" t="s">
        <v>150</v>
      </c>
      <c r="D220" s="5">
        <v>166000</v>
      </c>
      <c r="E220" s="5"/>
      <c r="F220" s="6">
        <f t="shared" si="12"/>
        <v>166000</v>
      </c>
      <c r="G220" s="5"/>
      <c r="H220" s="5">
        <v>82000</v>
      </c>
      <c r="I220" s="6">
        <f t="shared" si="14"/>
        <v>82000</v>
      </c>
    </row>
    <row r="221" spans="1:9" ht="15">
      <c r="A221" s="15">
        <v>132</v>
      </c>
      <c r="B221" s="15">
        <v>34</v>
      </c>
      <c r="C221" s="23" t="s">
        <v>151</v>
      </c>
      <c r="D221" s="5"/>
      <c r="E221" s="5"/>
      <c r="F221" s="6">
        <f t="shared" si="12"/>
        <v>0</v>
      </c>
      <c r="G221" s="5"/>
      <c r="H221" s="5"/>
      <c r="I221" s="6">
        <f t="shared" si="14"/>
        <v>0</v>
      </c>
    </row>
    <row r="222" spans="1:9" ht="15">
      <c r="A222" s="15">
        <v>133</v>
      </c>
      <c r="B222" s="15">
        <v>35</v>
      </c>
      <c r="C222" s="23" t="s">
        <v>152</v>
      </c>
      <c r="D222" s="5"/>
      <c r="E222" s="5"/>
      <c r="F222" s="6">
        <f t="shared" si="12"/>
        <v>0</v>
      </c>
      <c r="G222" s="5"/>
      <c r="H222" s="5"/>
      <c r="I222" s="6">
        <f t="shared" si="14"/>
        <v>0</v>
      </c>
    </row>
    <row r="223" spans="1:9" ht="15">
      <c r="A223" s="15">
        <v>134</v>
      </c>
      <c r="B223" s="15">
        <v>36</v>
      </c>
      <c r="C223" s="23" t="s">
        <v>153</v>
      </c>
      <c r="D223" s="5"/>
      <c r="E223" s="5"/>
      <c r="F223" s="6">
        <f t="shared" si="12"/>
        <v>0</v>
      </c>
      <c r="G223" s="5"/>
      <c r="H223" s="5"/>
      <c r="I223" s="6">
        <f t="shared" si="14"/>
        <v>0</v>
      </c>
    </row>
    <row r="224" spans="1:9" ht="15">
      <c r="A224" s="15">
        <v>135</v>
      </c>
      <c r="B224" s="15">
        <v>37</v>
      </c>
      <c r="C224" s="23" t="s">
        <v>154</v>
      </c>
      <c r="D224" s="5"/>
      <c r="E224" s="5"/>
      <c r="F224" s="6">
        <f t="shared" si="12"/>
        <v>0</v>
      </c>
      <c r="G224" s="5"/>
      <c r="H224" s="5"/>
      <c r="I224" s="6">
        <f t="shared" si="14"/>
        <v>0</v>
      </c>
    </row>
    <row r="225" spans="1:9" ht="15">
      <c r="A225" s="15">
        <v>136</v>
      </c>
      <c r="B225" s="15">
        <v>38</v>
      </c>
      <c r="C225" s="23" t="s">
        <v>155</v>
      </c>
      <c r="D225" s="5"/>
      <c r="E225" s="5"/>
      <c r="F225" s="6">
        <f t="shared" si="12"/>
        <v>0</v>
      </c>
      <c r="G225" s="5"/>
      <c r="H225" s="5"/>
      <c r="I225" s="6">
        <f t="shared" si="14"/>
        <v>0</v>
      </c>
    </row>
    <row r="226" spans="1:9" ht="15">
      <c r="A226" s="15">
        <v>137</v>
      </c>
      <c r="B226" s="15">
        <v>39</v>
      </c>
      <c r="C226" s="23" t="s">
        <v>156</v>
      </c>
      <c r="D226" s="5"/>
      <c r="E226" s="5">
        <v>320000</v>
      </c>
      <c r="F226" s="6">
        <f t="shared" si="12"/>
        <v>320000</v>
      </c>
      <c r="G226" s="5"/>
      <c r="H226" s="5">
        <v>320000</v>
      </c>
      <c r="I226" s="6">
        <f t="shared" si="14"/>
        <v>320000</v>
      </c>
    </row>
    <row r="227" spans="1:9" ht="15">
      <c r="A227" s="15">
        <v>138</v>
      </c>
      <c r="B227" s="15">
        <v>40</v>
      </c>
      <c r="C227" s="23" t="s">
        <v>157</v>
      </c>
      <c r="D227" s="5"/>
      <c r="E227" s="5"/>
      <c r="F227" s="6">
        <f t="shared" si="12"/>
        <v>0</v>
      </c>
      <c r="G227" s="5"/>
      <c r="H227" s="5"/>
      <c r="I227" s="6">
        <f t="shared" si="14"/>
        <v>0</v>
      </c>
    </row>
    <row r="228" spans="1:9" ht="15">
      <c r="A228" s="15">
        <v>139</v>
      </c>
      <c r="B228" s="15">
        <v>41</v>
      </c>
      <c r="C228" s="23" t="s">
        <v>158</v>
      </c>
      <c r="D228" s="5"/>
      <c r="E228" s="5"/>
      <c r="F228" s="6">
        <f t="shared" si="12"/>
        <v>0</v>
      </c>
      <c r="G228" s="5"/>
      <c r="H228" s="5"/>
      <c r="I228" s="6">
        <f t="shared" si="14"/>
        <v>0</v>
      </c>
    </row>
    <row r="229" spans="1:9" ht="15">
      <c r="A229" s="15">
        <v>140</v>
      </c>
      <c r="B229" s="15">
        <v>42</v>
      </c>
      <c r="C229" s="23" t="s">
        <v>159</v>
      </c>
      <c r="D229" s="5"/>
      <c r="E229" s="5"/>
      <c r="F229" s="6">
        <f t="shared" si="12"/>
        <v>0</v>
      </c>
      <c r="G229" s="5"/>
      <c r="H229" s="5"/>
      <c r="I229" s="6">
        <f t="shared" si="14"/>
        <v>0</v>
      </c>
    </row>
    <row r="230" spans="1:9" ht="15">
      <c r="A230" s="15">
        <v>141</v>
      </c>
      <c r="B230" s="15">
        <v>43</v>
      </c>
      <c r="C230" s="23" t="s">
        <v>160</v>
      </c>
      <c r="D230" s="5">
        <v>365000</v>
      </c>
      <c r="E230" s="5"/>
      <c r="F230" s="6">
        <f t="shared" si="12"/>
        <v>365000</v>
      </c>
      <c r="G230" s="5">
        <v>180000</v>
      </c>
      <c r="H230" s="5"/>
      <c r="I230" s="6">
        <f t="shared" si="14"/>
        <v>180000</v>
      </c>
    </row>
    <row r="231" spans="1:9" ht="15">
      <c r="A231" s="15">
        <v>142</v>
      </c>
      <c r="B231" s="15">
        <v>44</v>
      </c>
      <c r="C231" s="23" t="s">
        <v>161</v>
      </c>
      <c r="D231" s="5"/>
      <c r="E231" s="5"/>
      <c r="F231" s="6">
        <f t="shared" si="12"/>
        <v>0</v>
      </c>
      <c r="G231" s="5"/>
      <c r="H231" s="5"/>
      <c r="I231" s="6">
        <f t="shared" si="14"/>
        <v>0</v>
      </c>
    </row>
    <row r="232" spans="1:9" ht="15">
      <c r="A232" s="15">
        <v>143</v>
      </c>
      <c r="B232" s="15">
        <v>45</v>
      </c>
      <c r="C232" s="23" t="s">
        <v>246</v>
      </c>
      <c r="D232" s="5"/>
      <c r="E232" s="5"/>
      <c r="F232" s="6">
        <f>SUM(D232:E232)</f>
        <v>0</v>
      </c>
      <c r="G232" s="5"/>
      <c r="H232" s="5"/>
      <c r="I232" s="6">
        <f>SUM(G232:H232)</f>
        <v>0</v>
      </c>
    </row>
    <row r="233" spans="1:9" ht="15">
      <c r="A233" s="15">
        <v>144</v>
      </c>
      <c r="B233" s="15">
        <v>46</v>
      </c>
      <c r="C233" s="23" t="s">
        <v>169</v>
      </c>
      <c r="D233" s="5"/>
      <c r="E233" s="5"/>
      <c r="F233" s="6">
        <f>SUM(D233:E233)</f>
        <v>0</v>
      </c>
      <c r="G233" s="5"/>
      <c r="H233" s="5">
        <f>34000+36000+36000+36000</f>
        <v>142000</v>
      </c>
      <c r="I233" s="6">
        <f>SUM(G233:H233)</f>
        <v>142000</v>
      </c>
    </row>
    <row r="234" spans="1:9" ht="15">
      <c r="A234" s="15">
        <v>145</v>
      </c>
      <c r="B234" s="15">
        <v>47</v>
      </c>
      <c r="C234" s="25" t="s">
        <v>170</v>
      </c>
      <c r="D234" s="5">
        <v>1000000</v>
      </c>
      <c r="E234" s="5"/>
      <c r="F234" s="6">
        <f>SUM(D234:E234)</f>
        <v>1000000</v>
      </c>
      <c r="G234" s="5"/>
      <c r="H234" s="5"/>
      <c r="I234" s="6">
        <f>SUM(G234:H234)</f>
        <v>0</v>
      </c>
    </row>
    <row r="235" spans="1:9" ht="15">
      <c r="A235" s="15">
        <v>146</v>
      </c>
      <c r="B235" s="15">
        <v>48</v>
      </c>
      <c r="C235" s="23" t="s">
        <v>162</v>
      </c>
      <c r="D235" s="5"/>
      <c r="E235" s="5"/>
      <c r="F235" s="6">
        <f t="shared" si="12"/>
        <v>0</v>
      </c>
      <c r="G235" s="5"/>
      <c r="H235" s="5"/>
      <c r="I235" s="6">
        <f t="shared" si="14"/>
        <v>0</v>
      </c>
    </row>
    <row r="236" spans="1:9" ht="15">
      <c r="A236" s="15">
        <v>147</v>
      </c>
      <c r="B236" s="15">
        <v>49</v>
      </c>
      <c r="C236" s="23" t="s">
        <v>165</v>
      </c>
      <c r="D236" s="5">
        <v>1000000</v>
      </c>
      <c r="E236" s="5"/>
      <c r="F236" s="6">
        <f t="shared" si="12"/>
        <v>1000000</v>
      </c>
      <c r="G236" s="5">
        <v>1000000</v>
      </c>
      <c r="H236" s="5"/>
      <c r="I236" s="6">
        <f t="shared" si="14"/>
        <v>1000000</v>
      </c>
    </row>
    <row r="237" spans="1:9" ht="15">
      <c r="A237" s="15">
        <v>148</v>
      </c>
      <c r="B237" s="15">
        <v>50</v>
      </c>
      <c r="C237" s="23" t="s">
        <v>166</v>
      </c>
      <c r="D237" s="5">
        <v>1500000</v>
      </c>
      <c r="E237" s="5"/>
      <c r="F237" s="6">
        <f t="shared" si="12"/>
        <v>1500000</v>
      </c>
      <c r="G237" s="5"/>
      <c r="H237" s="5"/>
      <c r="I237" s="6">
        <f t="shared" si="14"/>
        <v>0</v>
      </c>
    </row>
    <row r="238" spans="1:9" ht="15">
      <c r="A238" s="15">
        <v>149</v>
      </c>
      <c r="B238" s="15">
        <v>51</v>
      </c>
      <c r="C238" s="23" t="s">
        <v>167</v>
      </c>
      <c r="D238" s="5">
        <v>1000000</v>
      </c>
      <c r="E238" s="5"/>
      <c r="F238" s="6">
        <f t="shared" si="12"/>
        <v>1000000</v>
      </c>
      <c r="G238" s="5"/>
      <c r="H238" s="5"/>
      <c r="I238" s="6">
        <f t="shared" si="14"/>
        <v>0</v>
      </c>
    </row>
    <row r="239" spans="1:9" ht="15">
      <c r="A239" s="15">
        <v>150</v>
      </c>
      <c r="B239" s="15">
        <v>52</v>
      </c>
      <c r="C239" s="23" t="s">
        <v>168</v>
      </c>
      <c r="D239" s="5"/>
      <c r="E239" s="5"/>
      <c r="F239" s="6">
        <f t="shared" si="12"/>
        <v>0</v>
      </c>
      <c r="G239" s="5">
        <v>5000000</v>
      </c>
      <c r="H239" s="5"/>
      <c r="I239" s="6">
        <f t="shared" si="14"/>
        <v>5000000</v>
      </c>
    </row>
    <row r="240" spans="1:9" ht="15">
      <c r="A240" s="15">
        <v>151</v>
      </c>
      <c r="B240" s="15">
        <v>53</v>
      </c>
      <c r="C240" s="23" t="s">
        <v>494</v>
      </c>
      <c r="D240" s="5">
        <v>1391000</v>
      </c>
      <c r="E240" s="5"/>
      <c r="F240" s="6">
        <f t="shared" si="12"/>
        <v>1391000</v>
      </c>
      <c r="G240" s="5">
        <v>391000</v>
      </c>
      <c r="H240" s="5"/>
      <c r="I240" s="6">
        <f t="shared" si="14"/>
        <v>391000</v>
      </c>
    </row>
    <row r="241" spans="1:9" ht="15">
      <c r="A241" s="15">
        <v>152</v>
      </c>
      <c r="B241" s="15">
        <v>54</v>
      </c>
      <c r="C241" s="23" t="s">
        <v>163</v>
      </c>
      <c r="D241" s="5">
        <v>750000</v>
      </c>
      <c r="E241" s="5"/>
      <c r="F241" s="6">
        <f>SUM(D241:E241)</f>
        <v>750000</v>
      </c>
      <c r="G241" s="5">
        <v>750000</v>
      </c>
      <c r="H241" s="5"/>
      <c r="I241" s="6">
        <f>SUM(G241:H241)</f>
        <v>750000</v>
      </c>
    </row>
    <row r="242" spans="1:9" ht="15">
      <c r="A242" s="15">
        <v>153</v>
      </c>
      <c r="B242" s="15">
        <v>55</v>
      </c>
      <c r="C242" s="23" t="s">
        <v>164</v>
      </c>
      <c r="D242" s="5">
        <v>350000</v>
      </c>
      <c r="E242" s="5"/>
      <c r="F242" s="6">
        <f>SUM(D242:E242)</f>
        <v>350000</v>
      </c>
      <c r="G242" s="5">
        <v>350000</v>
      </c>
      <c r="H242" s="5"/>
      <c r="I242" s="6">
        <f>SUM(G242:H242)</f>
        <v>350000</v>
      </c>
    </row>
    <row r="243" spans="1:9" ht="15">
      <c r="A243" s="15">
        <v>154</v>
      </c>
      <c r="B243" s="15">
        <v>56</v>
      </c>
      <c r="C243" s="23" t="s">
        <v>247</v>
      </c>
      <c r="D243" s="5"/>
      <c r="E243" s="5"/>
      <c r="F243" s="6">
        <f>SUM(D243:E243)</f>
        <v>0</v>
      </c>
      <c r="G243" s="5"/>
      <c r="H243" s="5"/>
      <c r="I243" s="6">
        <f>SUM(G243:H243)</f>
        <v>0</v>
      </c>
    </row>
    <row r="244" spans="1:9" ht="15">
      <c r="A244" s="239" t="s">
        <v>5</v>
      </c>
      <c r="B244" s="239"/>
      <c r="C244" s="239"/>
      <c r="D244" s="7">
        <f>SUM(D188:D243)</f>
        <v>10522775</v>
      </c>
      <c r="E244" s="7">
        <f>SUM(E188:E239)</f>
        <v>4801200</v>
      </c>
      <c r="F244" s="7">
        <f>SUM(D244:E244)</f>
        <v>15323975</v>
      </c>
      <c r="G244" s="7">
        <f>SUM(G188:G243)</f>
        <v>11673575</v>
      </c>
      <c r="H244" s="7">
        <f>SUM(H188:H243)</f>
        <v>3825200</v>
      </c>
      <c r="I244" s="7">
        <f>SUM(G244:H244)</f>
        <v>15498775</v>
      </c>
    </row>
    <row r="245" spans="1:9" ht="15">
      <c r="A245" s="224" t="s">
        <v>171</v>
      </c>
      <c r="B245" s="225"/>
      <c r="C245" s="225"/>
      <c r="D245" s="225"/>
      <c r="E245" s="225"/>
      <c r="F245" s="225"/>
      <c r="G245" s="225"/>
      <c r="H245" s="225"/>
      <c r="I245" s="226"/>
    </row>
    <row r="246" spans="1:9" ht="15">
      <c r="A246" s="15">
        <v>155</v>
      </c>
      <c r="B246" s="15">
        <v>1</v>
      </c>
      <c r="C246" s="20" t="s">
        <v>172</v>
      </c>
      <c r="D246" s="5">
        <v>5731174</v>
      </c>
      <c r="E246" s="5">
        <v>1339500</v>
      </c>
      <c r="F246" s="6">
        <f>SUM(D246:E246)</f>
        <v>7070674</v>
      </c>
      <c r="G246" s="5">
        <v>5731200</v>
      </c>
      <c r="H246" s="5">
        <v>1329500</v>
      </c>
      <c r="I246" s="6">
        <f>SUM(G246:H246)</f>
        <v>7060700</v>
      </c>
    </row>
    <row r="247" spans="1:9" ht="15">
      <c r="A247" s="15">
        <v>156</v>
      </c>
      <c r="B247" s="79">
        <v>2</v>
      </c>
      <c r="C247" s="96" t="s">
        <v>250</v>
      </c>
      <c r="D247" s="5"/>
      <c r="E247" s="5"/>
      <c r="F247" s="6">
        <f>SUM(D247:E247)</f>
        <v>0</v>
      </c>
      <c r="G247" s="5"/>
      <c r="H247" s="5"/>
      <c r="I247" s="6">
        <f>SUM(G247:H247)</f>
        <v>0</v>
      </c>
    </row>
    <row r="248" spans="1:9" ht="15">
      <c r="A248" s="224" t="s">
        <v>42</v>
      </c>
      <c r="B248" s="225"/>
      <c r="C248" s="225"/>
      <c r="D248" s="7">
        <f>D246</f>
        <v>5731174</v>
      </c>
      <c r="E248" s="7">
        <f>E246</f>
        <v>1339500</v>
      </c>
      <c r="F248" s="7">
        <f>SUM(D248:E248)</f>
        <v>7070674</v>
      </c>
      <c r="G248" s="7">
        <f>SUM(G246:G247)</f>
        <v>5731200</v>
      </c>
      <c r="H248" s="7">
        <f>SUM(H246:H247)</f>
        <v>1329500</v>
      </c>
      <c r="I248" s="7">
        <f>SUM(G248:H248)</f>
        <v>7060700</v>
      </c>
    </row>
    <row r="249" spans="1:9" ht="15">
      <c r="A249" s="224" t="s">
        <v>173</v>
      </c>
      <c r="B249" s="225"/>
      <c r="C249" s="225"/>
      <c r="D249" s="225"/>
      <c r="E249" s="225"/>
      <c r="F249" s="225"/>
      <c r="G249" s="225"/>
      <c r="H249" s="225"/>
      <c r="I249" s="226"/>
    </row>
    <row r="250" spans="1:9" ht="15">
      <c r="A250" s="15">
        <v>157</v>
      </c>
      <c r="B250" s="15">
        <v>1</v>
      </c>
      <c r="C250" s="26" t="s">
        <v>174</v>
      </c>
      <c r="D250" s="5"/>
      <c r="E250" s="27"/>
      <c r="F250" s="6">
        <f>SUM(D250:E250)</f>
        <v>0</v>
      </c>
      <c r="G250" s="5"/>
      <c r="H250" s="27"/>
      <c r="I250" s="6">
        <f>SUM(G250:H250)</f>
        <v>0</v>
      </c>
    </row>
    <row r="251" spans="1:9" ht="15">
      <c r="A251" s="15">
        <v>158</v>
      </c>
      <c r="B251" s="15">
        <v>2</v>
      </c>
      <c r="C251" s="28" t="s">
        <v>175</v>
      </c>
      <c r="D251" s="5">
        <v>2000000</v>
      </c>
      <c r="E251" s="27">
        <f>1500000+1500000</f>
        <v>3000000</v>
      </c>
      <c r="F251" s="6">
        <f>D251+E251</f>
        <v>5000000</v>
      </c>
      <c r="G251" s="5"/>
      <c r="H251" s="27">
        <v>1500000</v>
      </c>
      <c r="I251" s="6">
        <f>G251+H251</f>
        <v>1500000</v>
      </c>
    </row>
    <row r="252" spans="1:9" ht="15">
      <c r="A252" s="224" t="s">
        <v>42</v>
      </c>
      <c r="B252" s="225"/>
      <c r="C252" s="225"/>
      <c r="D252" s="7">
        <f>SUM(D250:D251)</f>
        <v>2000000</v>
      </c>
      <c r="E252" s="7">
        <f>SUM(E250:E251)</f>
        <v>3000000</v>
      </c>
      <c r="F252" s="7">
        <f>SUM(D252:E252)</f>
        <v>5000000</v>
      </c>
      <c r="G252" s="7">
        <f>SUM(G250:G251)</f>
        <v>0</v>
      </c>
      <c r="H252" s="7">
        <f>SUM(H250:H251)</f>
        <v>1500000</v>
      </c>
      <c r="I252" s="7">
        <f>SUM(G252:H252)</f>
        <v>1500000</v>
      </c>
    </row>
    <row r="253" spans="1:9" ht="15">
      <c r="A253" s="224" t="s">
        <v>524</v>
      </c>
      <c r="B253" s="225"/>
      <c r="C253" s="225"/>
      <c r="D253" s="225"/>
      <c r="E253" s="225"/>
      <c r="F253" s="225"/>
      <c r="G253" s="225"/>
      <c r="H253" s="225"/>
      <c r="I253" s="226"/>
    </row>
    <row r="254" spans="1:9" ht="15">
      <c r="A254" s="15">
        <v>159</v>
      </c>
      <c r="B254" s="15">
        <v>1</v>
      </c>
      <c r="C254" s="26" t="s">
        <v>525</v>
      </c>
      <c r="D254" s="5"/>
      <c r="E254" s="27"/>
      <c r="F254" s="6">
        <f>SUM(D254:E254)</f>
        <v>0</v>
      </c>
      <c r="G254" s="5"/>
      <c r="H254" s="27">
        <v>3237500</v>
      </c>
      <c r="I254" s="6">
        <f>SUM(G254:H254)</f>
        <v>3237500</v>
      </c>
    </row>
    <row r="255" spans="1:9" ht="15">
      <c r="A255" s="224" t="s">
        <v>42</v>
      </c>
      <c r="B255" s="225"/>
      <c r="C255" s="225"/>
      <c r="D255" s="7">
        <f>SUM(D254:D254)</f>
        <v>0</v>
      </c>
      <c r="E255" s="7">
        <f>SUM(E254:E254)</f>
        <v>0</v>
      </c>
      <c r="F255" s="7">
        <f>SUM(D255:E255)</f>
        <v>0</v>
      </c>
      <c r="G255" s="7">
        <f>SUM(G254:G254)</f>
        <v>0</v>
      </c>
      <c r="H255" s="7">
        <f>SUM(H254:H254)</f>
        <v>3237500</v>
      </c>
      <c r="I255" s="7">
        <f>SUM(G255:H255)</f>
        <v>3237500</v>
      </c>
    </row>
    <row r="256" spans="1:9" ht="15">
      <c r="A256" s="224" t="s">
        <v>176</v>
      </c>
      <c r="B256" s="225"/>
      <c r="C256" s="225"/>
      <c r="D256" s="225"/>
      <c r="E256" s="225"/>
      <c r="F256" s="225"/>
      <c r="G256" s="225"/>
      <c r="H256" s="225"/>
      <c r="I256" s="226"/>
    </row>
    <row r="257" spans="1:13" ht="15">
      <c r="A257" s="15">
        <v>160</v>
      </c>
      <c r="B257" s="15">
        <v>1</v>
      </c>
      <c r="C257" s="17" t="s">
        <v>177</v>
      </c>
      <c r="D257" s="5"/>
      <c r="E257" s="5">
        <v>66616200</v>
      </c>
      <c r="F257" s="6">
        <f>SUM(D257:E257)</f>
        <v>66616200</v>
      </c>
      <c r="G257" s="5"/>
      <c r="H257" s="5"/>
      <c r="I257" s="6">
        <f>SUM(G257:H257)</f>
        <v>0</v>
      </c>
      <c r="L257" s="83"/>
      <c r="M257" s="83"/>
    </row>
    <row r="258" spans="1:13" ht="15">
      <c r="A258" s="15">
        <v>161</v>
      </c>
      <c r="B258" s="15">
        <v>2</v>
      </c>
      <c r="C258" s="17" t="s">
        <v>178</v>
      </c>
      <c r="D258" s="5"/>
      <c r="E258" s="5">
        <v>1991000</v>
      </c>
      <c r="F258" s="6">
        <f aca="true" t="shared" si="15" ref="F258:F265">SUM(D258:E258)</f>
        <v>1991000</v>
      </c>
      <c r="G258" s="5">
        <f>50000+180000+24000+190250</f>
        <v>444250</v>
      </c>
      <c r="H258" s="5">
        <f>498000+1000000+500000</f>
        <v>1998000</v>
      </c>
      <c r="I258" s="6">
        <f aca="true" t="shared" si="16" ref="I258:I265">SUM(G258:H258)</f>
        <v>2442250</v>
      </c>
      <c r="L258" s="16"/>
      <c r="M258" s="100"/>
    </row>
    <row r="259" spans="1:13" ht="15">
      <c r="A259" s="15">
        <v>162</v>
      </c>
      <c r="B259" s="15">
        <v>3</v>
      </c>
      <c r="C259" s="29" t="s">
        <v>179</v>
      </c>
      <c r="D259" s="5"/>
      <c r="E259" s="5"/>
      <c r="F259" s="6">
        <f t="shared" si="15"/>
        <v>0</v>
      </c>
      <c r="G259" s="5"/>
      <c r="H259" s="5"/>
      <c r="I259" s="6">
        <f t="shared" si="16"/>
        <v>0</v>
      </c>
      <c r="L259" s="16"/>
      <c r="M259" s="16"/>
    </row>
    <row r="260" spans="1:13" ht="15">
      <c r="A260" s="15">
        <v>163</v>
      </c>
      <c r="B260" s="15">
        <v>4</v>
      </c>
      <c r="C260" s="29" t="s">
        <v>254</v>
      </c>
      <c r="D260" s="5"/>
      <c r="E260" s="5"/>
      <c r="F260" s="6">
        <f t="shared" si="15"/>
        <v>0</v>
      </c>
      <c r="G260" s="5"/>
      <c r="H260" s="5"/>
      <c r="I260" s="6">
        <f t="shared" si="16"/>
        <v>0</v>
      </c>
      <c r="L260" s="16"/>
      <c r="M260" s="16"/>
    </row>
    <row r="261" spans="1:13" ht="15">
      <c r="A261" s="15">
        <v>164</v>
      </c>
      <c r="B261" s="15">
        <v>5</v>
      </c>
      <c r="C261" s="26" t="s">
        <v>220</v>
      </c>
      <c r="D261" s="5"/>
      <c r="E261" s="5"/>
      <c r="F261" s="6">
        <f t="shared" si="15"/>
        <v>0</v>
      </c>
      <c r="G261" s="5">
        <v>50000</v>
      </c>
      <c r="H261" s="5"/>
      <c r="I261" s="6">
        <f t="shared" si="16"/>
        <v>50000</v>
      </c>
      <c r="M261" s="107"/>
    </row>
    <row r="262" spans="1:9" ht="15">
      <c r="A262" s="15">
        <v>165</v>
      </c>
      <c r="B262" s="15">
        <v>6</v>
      </c>
      <c r="C262" s="26" t="s">
        <v>221</v>
      </c>
      <c r="D262" s="5">
        <f>512000</f>
        <v>512000</v>
      </c>
      <c r="E262" s="5">
        <f>120000</f>
        <v>120000</v>
      </c>
      <c r="F262" s="6">
        <f t="shared" si="15"/>
        <v>632000</v>
      </c>
      <c r="G262" s="5"/>
      <c r="H262" s="5">
        <v>152000</v>
      </c>
      <c r="I262" s="6">
        <f t="shared" si="16"/>
        <v>152000</v>
      </c>
    </row>
    <row r="263" spans="1:13" ht="15">
      <c r="A263" s="15">
        <v>166</v>
      </c>
      <c r="B263" s="15">
        <v>7</v>
      </c>
      <c r="C263" s="26" t="s">
        <v>222</v>
      </c>
      <c r="D263" s="5"/>
      <c r="E263" s="5"/>
      <c r="F263" s="6">
        <f t="shared" si="15"/>
        <v>0</v>
      </c>
      <c r="G263" s="5"/>
      <c r="H263" s="5"/>
      <c r="I263" s="6">
        <f t="shared" si="16"/>
        <v>0</v>
      </c>
      <c r="K263" s="81"/>
      <c r="L263" s="82"/>
      <c r="M263" s="82"/>
    </row>
    <row r="264" spans="1:9" ht="15">
      <c r="A264" s="15">
        <v>167</v>
      </c>
      <c r="B264" s="15">
        <v>8</v>
      </c>
      <c r="C264" s="26" t="s">
        <v>223</v>
      </c>
      <c r="D264" s="5"/>
      <c r="E264" s="5">
        <v>100000</v>
      </c>
      <c r="F264" s="6">
        <f t="shared" si="15"/>
        <v>100000</v>
      </c>
      <c r="G264" s="5"/>
      <c r="H264" s="5">
        <v>1000000</v>
      </c>
      <c r="I264" s="6">
        <f t="shared" si="16"/>
        <v>1000000</v>
      </c>
    </row>
    <row r="265" spans="1:13" ht="15">
      <c r="A265" s="15">
        <v>168</v>
      </c>
      <c r="B265" s="15">
        <v>9</v>
      </c>
      <c r="C265" s="26" t="s">
        <v>256</v>
      </c>
      <c r="D265" s="5"/>
      <c r="E265" s="5"/>
      <c r="F265" s="6">
        <f t="shared" si="15"/>
        <v>0</v>
      </c>
      <c r="G265" s="5"/>
      <c r="H265" s="5"/>
      <c r="I265" s="6">
        <f t="shared" si="16"/>
        <v>0</v>
      </c>
      <c r="L265" s="83"/>
      <c r="M265" s="83"/>
    </row>
    <row r="266" spans="1:13" ht="15">
      <c r="A266" s="15">
        <v>169</v>
      </c>
      <c r="B266" s="15">
        <v>10</v>
      </c>
      <c r="C266" s="28" t="s">
        <v>186</v>
      </c>
      <c r="D266" s="5"/>
      <c r="E266" s="5"/>
      <c r="F266" s="6">
        <f>SUM(D266:E266)</f>
        <v>0</v>
      </c>
      <c r="G266" s="5"/>
      <c r="H266" s="5"/>
      <c r="I266" s="6">
        <f>SUM(G266:H266)</f>
        <v>0</v>
      </c>
      <c r="L266" s="16"/>
      <c r="M266" s="16"/>
    </row>
    <row r="267" spans="1:9" ht="15">
      <c r="A267" s="15">
        <v>170</v>
      </c>
      <c r="B267" s="15">
        <v>11</v>
      </c>
      <c r="C267" s="30" t="s">
        <v>185</v>
      </c>
      <c r="D267" s="5">
        <v>250000</v>
      </c>
      <c r="E267" s="5"/>
      <c r="F267" s="6">
        <f aca="true" t="shared" si="17" ref="F267:F277">SUM(D267:E267)</f>
        <v>250000</v>
      </c>
      <c r="G267" s="5">
        <v>220000</v>
      </c>
      <c r="H267" s="5"/>
      <c r="I267" s="6">
        <f aca="true" t="shared" si="18" ref="I267:I288">SUM(G267:H267)</f>
        <v>220000</v>
      </c>
    </row>
    <row r="268" spans="1:13" ht="15">
      <c r="A268" s="15">
        <v>171</v>
      </c>
      <c r="B268" s="15">
        <v>12</v>
      </c>
      <c r="C268" s="32" t="s">
        <v>308</v>
      </c>
      <c r="D268" s="31"/>
      <c r="E268" s="27"/>
      <c r="F268" s="6">
        <f t="shared" si="17"/>
        <v>0</v>
      </c>
      <c r="G268" s="31">
        <v>200000</v>
      </c>
      <c r="H268" s="27"/>
      <c r="I268" s="6">
        <f t="shared" si="18"/>
        <v>200000</v>
      </c>
      <c r="L268" s="16"/>
      <c r="M268" s="16"/>
    </row>
    <row r="269" spans="1:9" ht="15">
      <c r="A269" s="15">
        <v>172</v>
      </c>
      <c r="B269" s="15">
        <v>13</v>
      </c>
      <c r="C269" s="32" t="s">
        <v>309</v>
      </c>
      <c r="D269" s="31"/>
      <c r="E269" s="27"/>
      <c r="F269" s="6">
        <f t="shared" si="17"/>
        <v>0</v>
      </c>
      <c r="G269" s="31">
        <v>80000</v>
      </c>
      <c r="H269" s="27"/>
      <c r="I269" s="6">
        <f t="shared" si="18"/>
        <v>80000</v>
      </c>
    </row>
    <row r="270" spans="1:9" ht="15">
      <c r="A270" s="15">
        <v>173</v>
      </c>
      <c r="B270" s="15">
        <v>14</v>
      </c>
      <c r="C270" s="32" t="s">
        <v>355</v>
      </c>
      <c r="D270" s="31">
        <f>175000+175000</f>
        <v>350000</v>
      </c>
      <c r="E270" s="27"/>
      <c r="F270" s="6">
        <f t="shared" si="17"/>
        <v>350000</v>
      </c>
      <c r="G270" s="31">
        <v>175000</v>
      </c>
      <c r="H270" s="27"/>
      <c r="I270" s="6">
        <f t="shared" si="18"/>
        <v>175000</v>
      </c>
    </row>
    <row r="271" spans="1:9" ht="15">
      <c r="A271" s="15">
        <v>174</v>
      </c>
      <c r="B271" s="15">
        <v>15</v>
      </c>
      <c r="C271" s="32" t="s">
        <v>377</v>
      </c>
      <c r="D271" s="31">
        <v>340000</v>
      </c>
      <c r="E271" s="27"/>
      <c r="F271" s="6">
        <f t="shared" si="17"/>
        <v>340000</v>
      </c>
      <c r="G271" s="31">
        <v>188000</v>
      </c>
      <c r="H271" s="27"/>
      <c r="I271" s="91">
        <f t="shared" si="18"/>
        <v>188000</v>
      </c>
    </row>
    <row r="272" spans="1:9" ht="15">
      <c r="A272" s="15">
        <v>175</v>
      </c>
      <c r="B272" s="15">
        <v>16</v>
      </c>
      <c r="C272" s="32" t="s">
        <v>408</v>
      </c>
      <c r="D272" s="31"/>
      <c r="E272" s="27"/>
      <c r="F272" s="6">
        <f t="shared" si="17"/>
        <v>0</v>
      </c>
      <c r="G272" s="31">
        <f>500000+72000</f>
        <v>572000</v>
      </c>
      <c r="H272" s="27"/>
      <c r="I272" s="91">
        <f t="shared" si="18"/>
        <v>572000</v>
      </c>
    </row>
    <row r="273" spans="1:9" ht="15">
      <c r="A273" s="15">
        <v>176</v>
      </c>
      <c r="B273" s="15">
        <v>17</v>
      </c>
      <c r="C273" s="32" t="s">
        <v>493</v>
      </c>
      <c r="D273" s="31">
        <v>250000</v>
      </c>
      <c r="E273" s="27"/>
      <c r="F273" s="6">
        <f t="shared" si="17"/>
        <v>250000</v>
      </c>
      <c r="G273" s="31"/>
      <c r="H273" s="27"/>
      <c r="I273" s="91">
        <f t="shared" si="18"/>
        <v>0</v>
      </c>
    </row>
    <row r="274" spans="1:9" ht="15">
      <c r="A274" s="15">
        <v>177</v>
      </c>
      <c r="B274" s="15">
        <v>18</v>
      </c>
      <c r="C274" s="32" t="s">
        <v>495</v>
      </c>
      <c r="D274" s="31">
        <v>1350000</v>
      </c>
      <c r="E274" s="27"/>
      <c r="F274" s="6">
        <f t="shared" si="17"/>
        <v>1350000</v>
      </c>
      <c r="G274" s="31"/>
      <c r="H274" s="27"/>
      <c r="I274" s="91">
        <f t="shared" si="18"/>
        <v>0</v>
      </c>
    </row>
    <row r="275" spans="1:9" ht="15">
      <c r="A275" s="15">
        <v>178</v>
      </c>
      <c r="B275" s="15">
        <v>19</v>
      </c>
      <c r="C275" s="32" t="s">
        <v>497</v>
      </c>
      <c r="D275" s="31">
        <v>125000</v>
      </c>
      <c r="E275" s="27"/>
      <c r="F275" s="6">
        <f t="shared" si="17"/>
        <v>125000</v>
      </c>
      <c r="G275" s="31">
        <v>125000</v>
      </c>
      <c r="H275" s="27"/>
      <c r="I275" s="91">
        <f t="shared" si="18"/>
        <v>125000</v>
      </c>
    </row>
    <row r="276" spans="1:9" ht="15">
      <c r="A276" s="15">
        <v>179</v>
      </c>
      <c r="B276" s="15">
        <v>20</v>
      </c>
      <c r="C276" s="32" t="s">
        <v>496</v>
      </c>
      <c r="D276" s="31">
        <v>650000</v>
      </c>
      <c r="E276" s="27"/>
      <c r="F276" s="6">
        <f t="shared" si="17"/>
        <v>650000</v>
      </c>
      <c r="G276" s="31"/>
      <c r="H276" s="27"/>
      <c r="I276" s="91">
        <f t="shared" si="18"/>
        <v>0</v>
      </c>
    </row>
    <row r="277" spans="1:9" ht="15">
      <c r="A277" s="15">
        <v>180</v>
      </c>
      <c r="B277" s="15">
        <v>21</v>
      </c>
      <c r="C277" s="32" t="s">
        <v>498</v>
      </c>
      <c r="D277" s="31"/>
      <c r="E277" s="27">
        <v>100000</v>
      </c>
      <c r="F277" s="6">
        <f t="shared" si="17"/>
        <v>100000</v>
      </c>
      <c r="G277" s="31"/>
      <c r="H277" s="27"/>
      <c r="I277" s="91">
        <f t="shared" si="18"/>
        <v>0</v>
      </c>
    </row>
    <row r="278" spans="1:9" ht="15">
      <c r="A278" s="15">
        <v>181</v>
      </c>
      <c r="B278" s="15">
        <v>22</v>
      </c>
      <c r="C278" s="32" t="s">
        <v>245</v>
      </c>
      <c r="D278" s="31"/>
      <c r="E278" s="27"/>
      <c r="F278" s="91"/>
      <c r="G278" s="31">
        <v>120000</v>
      </c>
      <c r="H278" s="27"/>
      <c r="I278" s="91">
        <f t="shared" si="18"/>
        <v>120000</v>
      </c>
    </row>
    <row r="279" spans="1:9" ht="15">
      <c r="A279" s="15">
        <v>182</v>
      </c>
      <c r="B279" s="15">
        <v>23</v>
      </c>
      <c r="C279" s="32" t="s">
        <v>519</v>
      </c>
      <c r="D279" s="31"/>
      <c r="E279" s="27"/>
      <c r="F279" s="91"/>
      <c r="G279" s="31">
        <v>100000</v>
      </c>
      <c r="H279" s="27"/>
      <c r="I279" s="91">
        <f t="shared" si="18"/>
        <v>100000</v>
      </c>
    </row>
    <row r="280" spans="1:9" ht="15">
      <c r="A280" s="15">
        <v>183</v>
      </c>
      <c r="B280" s="15">
        <v>24</v>
      </c>
      <c r="C280" s="32" t="s">
        <v>520</v>
      </c>
      <c r="D280" s="31"/>
      <c r="E280" s="27"/>
      <c r="F280" s="91"/>
      <c r="G280" s="31"/>
      <c r="H280" s="27">
        <v>11000</v>
      </c>
      <c r="I280" s="91">
        <f t="shared" si="18"/>
        <v>11000</v>
      </c>
    </row>
    <row r="281" spans="1:9" ht="15">
      <c r="A281" s="15">
        <v>184</v>
      </c>
      <c r="B281" s="15">
        <v>25</v>
      </c>
      <c r="C281" s="32" t="s">
        <v>521</v>
      </c>
      <c r="D281" s="31"/>
      <c r="E281" s="27"/>
      <c r="F281" s="91"/>
      <c r="G281" s="31"/>
      <c r="H281" s="27">
        <v>15000</v>
      </c>
      <c r="I281" s="91">
        <f t="shared" si="18"/>
        <v>15000</v>
      </c>
    </row>
    <row r="282" spans="1:9" ht="15">
      <c r="A282" s="15">
        <v>185</v>
      </c>
      <c r="B282" s="15">
        <v>26</v>
      </c>
      <c r="C282" s="32" t="s">
        <v>522</v>
      </c>
      <c r="D282" s="31"/>
      <c r="E282" s="27"/>
      <c r="F282" s="91"/>
      <c r="G282" s="31"/>
      <c r="H282" s="27">
        <v>25000</v>
      </c>
      <c r="I282" s="91">
        <f t="shared" si="18"/>
        <v>25000</v>
      </c>
    </row>
    <row r="283" spans="1:9" ht="15">
      <c r="A283" s="15">
        <v>186</v>
      </c>
      <c r="B283" s="15">
        <v>27</v>
      </c>
      <c r="C283" s="32" t="s">
        <v>523</v>
      </c>
      <c r="D283" s="31"/>
      <c r="E283" s="27"/>
      <c r="F283" s="91"/>
      <c r="G283" s="31"/>
      <c r="H283" s="27">
        <v>25000</v>
      </c>
      <c r="I283" s="91">
        <f t="shared" si="18"/>
        <v>25000</v>
      </c>
    </row>
    <row r="284" spans="1:9" ht="15">
      <c r="A284" s="15">
        <v>187</v>
      </c>
      <c r="B284" s="15">
        <v>28</v>
      </c>
      <c r="C284" s="32" t="s">
        <v>526</v>
      </c>
      <c r="D284" s="31"/>
      <c r="E284" s="27"/>
      <c r="F284" s="91"/>
      <c r="G284" s="31"/>
      <c r="H284" s="27">
        <v>991000</v>
      </c>
      <c r="I284" s="91">
        <f t="shared" si="18"/>
        <v>991000</v>
      </c>
    </row>
    <row r="285" spans="1:9" ht="15">
      <c r="A285" s="15">
        <v>188</v>
      </c>
      <c r="B285" s="15">
        <v>29</v>
      </c>
      <c r="C285" s="32" t="s">
        <v>527</v>
      </c>
      <c r="D285" s="31"/>
      <c r="E285" s="27"/>
      <c r="F285" s="91"/>
      <c r="G285" s="31"/>
      <c r="H285" s="27">
        <v>25000</v>
      </c>
      <c r="I285" s="91">
        <f t="shared" si="18"/>
        <v>25000</v>
      </c>
    </row>
    <row r="286" spans="1:9" ht="15">
      <c r="A286" s="15">
        <v>189</v>
      </c>
      <c r="B286" s="15">
        <v>30</v>
      </c>
      <c r="C286" s="32" t="s">
        <v>528</v>
      </c>
      <c r="D286" s="31"/>
      <c r="E286" s="27"/>
      <c r="F286" s="91"/>
      <c r="G286" s="31"/>
      <c r="H286" s="27">
        <v>50000</v>
      </c>
      <c r="I286" s="91">
        <f t="shared" si="18"/>
        <v>50000</v>
      </c>
    </row>
    <row r="287" spans="1:9" ht="15">
      <c r="A287" s="15">
        <v>190</v>
      </c>
      <c r="B287" s="15">
        <v>31</v>
      </c>
      <c r="C287" s="32" t="s">
        <v>529</v>
      </c>
      <c r="D287" s="31"/>
      <c r="E287" s="27"/>
      <c r="F287" s="91"/>
      <c r="G287" s="31"/>
      <c r="H287" s="27">
        <v>25000</v>
      </c>
      <c r="I287" s="91">
        <f t="shared" si="18"/>
        <v>25000</v>
      </c>
    </row>
    <row r="288" spans="1:9" ht="15">
      <c r="A288" s="15">
        <v>191</v>
      </c>
      <c r="B288" s="15">
        <v>32</v>
      </c>
      <c r="C288" s="32" t="s">
        <v>530</v>
      </c>
      <c r="D288" s="31"/>
      <c r="E288" s="27"/>
      <c r="F288" s="91"/>
      <c r="G288" s="31"/>
      <c r="H288" s="27">
        <v>25000</v>
      </c>
      <c r="I288" s="91">
        <f t="shared" si="18"/>
        <v>25000</v>
      </c>
    </row>
    <row r="289" spans="1:9" ht="15.75" thickBot="1">
      <c r="A289" s="253" t="s">
        <v>42</v>
      </c>
      <c r="B289" s="254"/>
      <c r="C289" s="255"/>
      <c r="D289" s="33">
        <f>SUM(D257:D277)</f>
        <v>3827000</v>
      </c>
      <c r="E289" s="33">
        <f>SUM(E257:E277)</f>
        <v>68927200</v>
      </c>
      <c r="F289" s="33">
        <f>SUM(D289:E289)</f>
        <v>72754200</v>
      </c>
      <c r="G289" s="33">
        <f>SUM(G257:G288)</f>
        <v>2274250</v>
      </c>
      <c r="H289" s="33">
        <f>SUM(H257:H288)</f>
        <v>4342000</v>
      </c>
      <c r="I289" s="33">
        <f>SUM(G289:H289)</f>
        <v>6616250</v>
      </c>
    </row>
    <row r="290" spans="1:9" ht="16.5" thickBot="1" thickTop="1">
      <c r="A290" s="237" t="s">
        <v>190</v>
      </c>
      <c r="B290" s="238"/>
      <c r="C290" s="238"/>
      <c r="D290" s="34">
        <f>D289+D252+D248+D244+D186+D161+D139+D117+D114+D111+D88+D78+D75+D72</f>
        <v>94010210</v>
      </c>
      <c r="E290" s="34">
        <f>E289+E252+E248+E244+E186+E161+E139+E117+E114+E111+E88+E78+E75+E72</f>
        <v>113514993</v>
      </c>
      <c r="F290" s="34">
        <f>SUM(D290:E290)</f>
        <v>207525203</v>
      </c>
      <c r="G290" s="34">
        <f>G289+G255+G252+G248+G244+G186+G161+G139+G117+G114+G111+G88+G78+G75+G72</f>
        <v>148016394</v>
      </c>
      <c r="H290" s="34">
        <f>H289+H255+H252+H248+H244+H186+H161+H139+H117+H114+H111+H88+H78+H75+H72</f>
        <v>199013543</v>
      </c>
      <c r="I290" s="34">
        <f>SUM(G290:H290)</f>
        <v>347029937</v>
      </c>
    </row>
    <row r="291" spans="1:13" ht="15.75" thickTop="1">
      <c r="A291" s="35"/>
      <c r="B291" s="35"/>
      <c r="C291" s="35"/>
      <c r="D291" s="36"/>
      <c r="E291" s="36"/>
      <c r="F291" s="36"/>
      <c r="G291" s="36"/>
      <c r="H291" s="36"/>
      <c r="I291" s="36"/>
      <c r="J291" s="37"/>
      <c r="K291" s="16"/>
      <c r="L291" s="16"/>
      <c r="M291" s="16"/>
    </row>
    <row r="292" spans="1:9" ht="15">
      <c r="A292" s="39"/>
      <c r="B292" s="39"/>
      <c r="C292" s="39"/>
      <c r="D292" s="38"/>
      <c r="E292" s="38"/>
      <c r="F292" s="240" t="s">
        <v>516</v>
      </c>
      <c r="G292" s="240"/>
      <c r="H292" s="240"/>
      <c r="I292" s="240"/>
    </row>
    <row r="293" spans="1:9" ht="15">
      <c r="A293" s="39"/>
      <c r="B293" s="39"/>
      <c r="C293" s="38" t="s">
        <v>199</v>
      </c>
      <c r="D293" s="38"/>
      <c r="E293" s="38"/>
      <c r="F293" s="240" t="s">
        <v>349</v>
      </c>
      <c r="G293" s="240"/>
      <c r="H293" s="240"/>
      <c r="I293" s="240"/>
    </row>
    <row r="294" spans="1:8" ht="15">
      <c r="A294" s="39"/>
      <c r="B294" s="39"/>
      <c r="C294" s="39"/>
      <c r="D294" s="39"/>
      <c r="E294" s="39"/>
      <c r="G294" s="39"/>
      <c r="H294" s="39"/>
    </row>
    <row r="295" spans="1:8" ht="15">
      <c r="A295" s="39"/>
      <c r="B295" s="61"/>
      <c r="C295" s="272" t="s">
        <v>866</v>
      </c>
      <c r="D295" s="39"/>
      <c r="E295" s="39"/>
      <c r="G295" s="270" t="s">
        <v>866</v>
      </c>
      <c r="H295" s="39"/>
    </row>
    <row r="296" spans="1:9" ht="15">
      <c r="A296" s="39"/>
      <c r="B296" s="61"/>
      <c r="C296" s="38" t="s">
        <v>269</v>
      </c>
      <c r="D296" s="62"/>
      <c r="E296" s="62"/>
      <c r="F296" s="240" t="s">
        <v>350</v>
      </c>
      <c r="G296" s="240"/>
      <c r="H296" s="240"/>
      <c r="I296" s="240"/>
    </row>
    <row r="297" spans="1:12" ht="15">
      <c r="A297" s="35"/>
      <c r="B297" s="35"/>
      <c r="C297" s="35"/>
      <c r="D297" s="36"/>
      <c r="E297" s="36"/>
      <c r="F297" s="36"/>
      <c r="G297" s="36"/>
      <c r="H297" s="36"/>
      <c r="I297" s="36"/>
      <c r="J297" s="37"/>
      <c r="L297" s="16"/>
    </row>
    <row r="298" spans="1:9" ht="15">
      <c r="A298" s="240" t="s">
        <v>191</v>
      </c>
      <c r="B298" s="240"/>
      <c r="C298" s="240"/>
      <c r="D298" s="240"/>
      <c r="E298" s="240"/>
      <c r="F298" s="240"/>
      <c r="G298" s="240"/>
      <c r="H298" s="240"/>
      <c r="I298" s="240"/>
    </row>
    <row r="299" spans="1:9" ht="15">
      <c r="A299" s="240" t="s">
        <v>531</v>
      </c>
      <c r="B299" s="240"/>
      <c r="C299" s="240"/>
      <c r="D299" s="240"/>
      <c r="E299" s="240"/>
      <c r="F299" s="240"/>
      <c r="G299" s="240"/>
      <c r="H299" s="240"/>
      <c r="I299" s="240"/>
    </row>
    <row r="300" spans="1:9" ht="15">
      <c r="A300" s="38" t="s">
        <v>192</v>
      </c>
      <c r="B300" s="72" t="s">
        <v>195</v>
      </c>
      <c r="C300" s="38"/>
      <c r="D300" s="38"/>
      <c r="E300" s="38"/>
      <c r="F300" s="38"/>
      <c r="G300" s="38"/>
      <c r="H300" s="38"/>
      <c r="I300" s="38"/>
    </row>
    <row r="301" spans="1:9" ht="15">
      <c r="A301" s="40"/>
      <c r="B301" s="243" t="s">
        <v>2</v>
      </c>
      <c r="C301" s="247" t="s">
        <v>193</v>
      </c>
      <c r="D301" s="248"/>
      <c r="E301" s="248"/>
      <c r="F301" s="248"/>
      <c r="G301" s="248"/>
      <c r="H301" s="249"/>
      <c r="I301" s="85" t="s">
        <v>42</v>
      </c>
    </row>
    <row r="302" spans="1:9" ht="15">
      <c r="A302" s="39"/>
      <c r="B302" s="244"/>
      <c r="C302" s="250"/>
      <c r="D302" s="251"/>
      <c r="E302" s="251"/>
      <c r="F302" s="251"/>
      <c r="G302" s="251"/>
      <c r="H302" s="252"/>
      <c r="I302" s="84" t="s">
        <v>194</v>
      </c>
    </row>
    <row r="303" spans="1:9" ht="15">
      <c r="A303" s="39"/>
      <c r="B303" s="70">
        <v>1</v>
      </c>
      <c r="C303" s="45" t="s">
        <v>339</v>
      </c>
      <c r="D303" s="60"/>
      <c r="E303" s="60"/>
      <c r="F303" s="69"/>
      <c r="G303" s="60"/>
      <c r="H303" s="60"/>
      <c r="I303" s="59"/>
    </row>
    <row r="304" spans="1:9" ht="15">
      <c r="A304" s="39"/>
      <c r="B304" s="70"/>
      <c r="C304" s="45" t="s">
        <v>532</v>
      </c>
      <c r="D304" s="60"/>
      <c r="E304" s="60"/>
      <c r="F304" s="69"/>
      <c r="G304" s="60"/>
      <c r="H304" s="60"/>
      <c r="I304" s="99">
        <v>6565900</v>
      </c>
    </row>
    <row r="305" spans="1:9" ht="15">
      <c r="A305" s="39"/>
      <c r="B305" s="70">
        <v>2</v>
      </c>
      <c r="C305" s="45" t="s">
        <v>429</v>
      </c>
      <c r="D305" s="60"/>
      <c r="E305" s="60"/>
      <c r="F305" s="69"/>
      <c r="G305" s="60"/>
      <c r="H305" s="60"/>
      <c r="I305" s="99"/>
    </row>
    <row r="306" spans="1:9" ht="15">
      <c r="A306" s="39"/>
      <c r="B306" s="70"/>
      <c r="C306" s="45" t="s">
        <v>566</v>
      </c>
      <c r="D306" s="60"/>
      <c r="E306" s="60"/>
      <c r="F306" s="69"/>
      <c r="G306" s="60"/>
      <c r="H306" s="60"/>
      <c r="I306" s="99"/>
    </row>
    <row r="307" spans="1:9" ht="15">
      <c r="A307" s="39"/>
      <c r="B307" s="70"/>
      <c r="C307" s="45" t="s">
        <v>603</v>
      </c>
      <c r="D307" s="60"/>
      <c r="E307" s="60"/>
      <c r="F307" s="69"/>
      <c r="G307" s="60"/>
      <c r="H307" s="60"/>
      <c r="I307" s="99">
        <v>5000000</v>
      </c>
    </row>
    <row r="308" spans="1:9" ht="15">
      <c r="A308" s="39"/>
      <c r="B308" s="70"/>
      <c r="C308" s="45" t="s">
        <v>604</v>
      </c>
      <c r="D308" s="60"/>
      <c r="E308" s="60"/>
      <c r="F308" s="69"/>
      <c r="G308" s="60"/>
      <c r="H308" s="60"/>
      <c r="I308" s="99">
        <v>5000000</v>
      </c>
    </row>
    <row r="309" spans="1:11" ht="15">
      <c r="A309" s="39"/>
      <c r="B309" s="70"/>
      <c r="C309" s="45" t="s">
        <v>553</v>
      </c>
      <c r="D309" s="60"/>
      <c r="E309" s="60"/>
      <c r="F309" s="69"/>
      <c r="G309" s="60"/>
      <c r="H309" s="60"/>
      <c r="I309" s="99">
        <v>5000000</v>
      </c>
      <c r="K309" s="88"/>
    </row>
    <row r="310" spans="1:10" ht="15">
      <c r="A310" s="39"/>
      <c r="B310" s="70">
        <v>3</v>
      </c>
      <c r="C310" s="103" t="s">
        <v>504</v>
      </c>
      <c r="D310" s="60"/>
      <c r="E310" s="60"/>
      <c r="F310" s="69"/>
      <c r="G310" s="60"/>
      <c r="H310" s="60"/>
      <c r="I310" s="99"/>
      <c r="J310" s="88"/>
    </row>
    <row r="311" spans="1:11" ht="15">
      <c r="A311" s="39"/>
      <c r="B311" s="70"/>
      <c r="C311" s="109" t="s">
        <v>567</v>
      </c>
      <c r="D311" s="60"/>
      <c r="E311" s="60"/>
      <c r="F311" s="69"/>
      <c r="G311" s="60"/>
      <c r="H311" s="60"/>
      <c r="I311" s="99"/>
      <c r="K311" s="88"/>
    </row>
    <row r="312" spans="1:11" ht="15">
      <c r="A312" s="39"/>
      <c r="B312" s="70"/>
      <c r="C312" s="113" t="s">
        <v>605</v>
      </c>
      <c r="D312" s="60"/>
      <c r="E312" s="60"/>
      <c r="F312" s="69"/>
      <c r="G312" s="60"/>
      <c r="H312" s="60"/>
      <c r="I312" s="99">
        <v>1500000</v>
      </c>
      <c r="K312" s="88"/>
    </row>
    <row r="313" spans="1:13" ht="15">
      <c r="A313" s="39"/>
      <c r="B313" s="70"/>
      <c r="C313" s="113" t="s">
        <v>606</v>
      </c>
      <c r="D313" s="60"/>
      <c r="E313" s="60"/>
      <c r="F313" s="69"/>
      <c r="G313" s="60"/>
      <c r="H313" s="60"/>
      <c r="I313" s="99">
        <v>1500000</v>
      </c>
      <c r="K313" s="88"/>
      <c r="M313" t="s">
        <v>607</v>
      </c>
    </row>
    <row r="314" spans="1:9" ht="15">
      <c r="A314" s="39"/>
      <c r="B314" s="70">
        <v>4</v>
      </c>
      <c r="C314" s="45" t="s">
        <v>562</v>
      </c>
      <c r="D314" s="60"/>
      <c r="E314" s="60"/>
      <c r="F314" s="69"/>
      <c r="G314" s="60"/>
      <c r="H314" s="60"/>
      <c r="I314" s="99">
        <v>2482000</v>
      </c>
    </row>
    <row r="315" spans="1:9" ht="15">
      <c r="A315" s="39"/>
      <c r="B315" s="41">
        <v>5</v>
      </c>
      <c r="C315" s="45" t="s">
        <v>279</v>
      </c>
      <c r="D315" s="42"/>
      <c r="E315" s="42"/>
      <c r="F315" s="63"/>
      <c r="G315" s="42"/>
      <c r="H315" s="42"/>
      <c r="I315" s="92"/>
    </row>
    <row r="316" spans="1:9" ht="15">
      <c r="A316" s="39"/>
      <c r="B316" s="41"/>
      <c r="C316" s="45" t="s">
        <v>557</v>
      </c>
      <c r="D316" s="42"/>
      <c r="E316" s="42"/>
      <c r="F316" s="63"/>
      <c r="G316" s="42"/>
      <c r="H316" s="42"/>
      <c r="I316" s="92">
        <v>2000000</v>
      </c>
    </row>
    <row r="317" spans="1:11" ht="15">
      <c r="A317" s="39"/>
      <c r="B317" s="41">
        <v>6</v>
      </c>
      <c r="C317" s="55" t="s">
        <v>360</v>
      </c>
      <c r="D317" s="52"/>
      <c r="E317" s="52"/>
      <c r="F317" s="63"/>
      <c r="G317" s="52"/>
      <c r="H317" s="53"/>
      <c r="I317" s="92">
        <v>200000</v>
      </c>
      <c r="K317" t="s">
        <v>198</v>
      </c>
    </row>
    <row r="318" spans="1:9" ht="15">
      <c r="A318" s="39"/>
      <c r="B318" s="70">
        <v>7</v>
      </c>
      <c r="C318" s="51" t="s">
        <v>563</v>
      </c>
      <c r="D318" s="52"/>
      <c r="E318" s="52"/>
      <c r="F318" s="68"/>
      <c r="G318" s="76"/>
      <c r="H318" s="77"/>
      <c r="I318" s="92">
        <v>444250</v>
      </c>
    </row>
    <row r="319" spans="1:9" ht="15">
      <c r="A319" s="56"/>
      <c r="B319" s="241" t="s">
        <v>5</v>
      </c>
      <c r="C319" s="245"/>
      <c r="D319" s="245"/>
      <c r="E319" s="245"/>
      <c r="F319" s="66"/>
      <c r="G319" s="66"/>
      <c r="H319" s="67"/>
      <c r="I319" s="57">
        <f>SUM(I303:I318)</f>
        <v>29692150</v>
      </c>
    </row>
    <row r="320" spans="1:9" ht="15">
      <c r="A320" s="58"/>
      <c r="B320" s="58"/>
      <c r="C320" s="58"/>
      <c r="D320" s="58"/>
      <c r="E320" s="58"/>
      <c r="F320" s="58"/>
      <c r="G320" s="73"/>
      <c r="H320" s="73"/>
      <c r="I320" s="58"/>
    </row>
    <row r="321" spans="1:9" ht="15">
      <c r="A321" s="74" t="s">
        <v>196</v>
      </c>
      <c r="B321" s="75" t="s">
        <v>197</v>
      </c>
      <c r="C321" s="75"/>
      <c r="D321" s="58"/>
      <c r="E321" s="58"/>
      <c r="F321" s="58"/>
      <c r="G321" s="58"/>
      <c r="H321" s="58"/>
      <c r="I321" s="58"/>
    </row>
    <row r="322" spans="1:9" ht="15">
      <c r="A322" s="40"/>
      <c r="B322" s="243" t="s">
        <v>2</v>
      </c>
      <c r="C322" s="248" t="s">
        <v>193</v>
      </c>
      <c r="D322" s="248"/>
      <c r="E322" s="248"/>
      <c r="F322" s="248"/>
      <c r="G322" s="248"/>
      <c r="H322" s="249"/>
      <c r="I322" s="85" t="s">
        <v>42</v>
      </c>
    </row>
    <row r="323" spans="1:9" ht="15">
      <c r="A323" s="58"/>
      <c r="B323" s="244"/>
      <c r="C323" s="251"/>
      <c r="D323" s="251"/>
      <c r="E323" s="251"/>
      <c r="F323" s="251"/>
      <c r="G323" s="251"/>
      <c r="H323" s="252"/>
      <c r="I323" s="84" t="s">
        <v>194</v>
      </c>
    </row>
    <row r="324" spans="1:9" ht="15">
      <c r="A324" s="58"/>
      <c r="B324" s="70">
        <v>1</v>
      </c>
      <c r="C324" s="45" t="s">
        <v>339</v>
      </c>
      <c r="D324" s="42"/>
      <c r="E324" s="42"/>
      <c r="F324" s="69"/>
      <c r="G324" s="42"/>
      <c r="H324" s="42"/>
      <c r="I324" s="99"/>
    </row>
    <row r="325" spans="1:10" ht="15">
      <c r="A325" s="58"/>
      <c r="B325" s="70"/>
      <c r="C325" s="45" t="s">
        <v>577</v>
      </c>
      <c r="D325" s="42"/>
      <c r="E325" s="42"/>
      <c r="F325" s="69"/>
      <c r="G325" s="42"/>
      <c r="H325" s="42"/>
      <c r="I325" s="106">
        <v>1700625</v>
      </c>
      <c r="J325" s="88"/>
    </row>
    <row r="326" spans="1:10" ht="15">
      <c r="A326" s="58"/>
      <c r="B326" s="70"/>
      <c r="C326" s="45" t="s">
        <v>362</v>
      </c>
      <c r="D326" s="42"/>
      <c r="E326" s="42"/>
      <c r="F326" s="69"/>
      <c r="G326" s="42"/>
      <c r="H326" s="42"/>
      <c r="I326" s="99">
        <v>406800</v>
      </c>
      <c r="J326" s="88"/>
    </row>
    <row r="327" spans="1:10" ht="15">
      <c r="A327" s="58"/>
      <c r="B327" s="70"/>
      <c r="C327" s="45" t="s">
        <v>538</v>
      </c>
      <c r="D327" s="42"/>
      <c r="E327" s="42"/>
      <c r="F327" s="69"/>
      <c r="G327" s="42"/>
      <c r="H327" s="42"/>
      <c r="I327" s="99">
        <v>1288000</v>
      </c>
      <c r="J327" s="88"/>
    </row>
    <row r="328" spans="1:10" ht="15">
      <c r="A328" s="58"/>
      <c r="B328" s="70">
        <v>2</v>
      </c>
      <c r="C328" s="45" t="s">
        <v>390</v>
      </c>
      <c r="D328" s="60"/>
      <c r="E328" s="60"/>
      <c r="F328" s="69"/>
      <c r="G328" s="60"/>
      <c r="H328" s="60"/>
      <c r="I328" s="99"/>
      <c r="J328" s="88"/>
    </row>
    <row r="329" spans="1:10" ht="15">
      <c r="A329" s="58"/>
      <c r="B329" s="70"/>
      <c r="C329" s="45" t="s">
        <v>533</v>
      </c>
      <c r="D329" s="60"/>
      <c r="E329" s="60"/>
      <c r="F329" s="69"/>
      <c r="G329" s="60"/>
      <c r="H329" s="60"/>
      <c r="I329" s="99">
        <f>1000000</f>
        <v>1000000</v>
      </c>
      <c r="J329" s="88"/>
    </row>
    <row r="330" spans="1:10" ht="15">
      <c r="A330" s="58"/>
      <c r="B330" s="70"/>
      <c r="C330" s="45" t="s">
        <v>534</v>
      </c>
      <c r="D330" s="60"/>
      <c r="E330" s="60"/>
      <c r="F330" s="69"/>
      <c r="G330" s="60"/>
      <c r="H330" s="60"/>
      <c r="I330" s="99">
        <v>500000</v>
      </c>
      <c r="J330" s="88"/>
    </row>
    <row r="331" spans="1:10" ht="15">
      <c r="A331" s="58"/>
      <c r="B331" s="70"/>
      <c r="C331" s="45" t="s">
        <v>535</v>
      </c>
      <c r="D331" s="60"/>
      <c r="E331" s="60"/>
      <c r="F331" s="69"/>
      <c r="G331" s="60"/>
      <c r="H331" s="60"/>
      <c r="I331" s="99"/>
      <c r="J331" s="88"/>
    </row>
    <row r="332" spans="1:10" ht="15">
      <c r="A332" s="58"/>
      <c r="B332" s="70"/>
      <c r="C332" s="45" t="s">
        <v>536</v>
      </c>
      <c r="D332" s="60"/>
      <c r="E332" s="60"/>
      <c r="F332" s="69"/>
      <c r="G332" s="60"/>
      <c r="H332" s="60"/>
      <c r="I332" s="99">
        <v>100000</v>
      </c>
      <c r="J332" s="88"/>
    </row>
    <row r="333" spans="1:10" ht="15">
      <c r="A333" s="58"/>
      <c r="B333" s="70"/>
      <c r="C333" s="45" t="s">
        <v>537</v>
      </c>
      <c r="D333" s="60"/>
      <c r="E333" s="60"/>
      <c r="F333" s="69"/>
      <c r="G333" s="60"/>
      <c r="H333" s="60"/>
      <c r="I333" s="99">
        <v>350000</v>
      </c>
      <c r="J333" s="88"/>
    </row>
    <row r="334" spans="1:10" ht="15">
      <c r="A334" s="58"/>
      <c r="B334" s="70"/>
      <c r="C334" s="45" t="s">
        <v>545</v>
      </c>
      <c r="D334" s="60"/>
      <c r="E334" s="60"/>
      <c r="F334" s="69"/>
      <c r="G334" s="60"/>
      <c r="H334" s="60"/>
      <c r="I334" s="99">
        <v>2000000</v>
      </c>
      <c r="J334" s="88"/>
    </row>
    <row r="335" spans="1:10" ht="15">
      <c r="A335" s="58"/>
      <c r="B335" s="70"/>
      <c r="C335" s="45" t="s">
        <v>546</v>
      </c>
      <c r="D335" s="60"/>
      <c r="E335" s="60"/>
      <c r="F335" s="69"/>
      <c r="G335" s="60"/>
      <c r="H335" s="60"/>
      <c r="I335" s="99">
        <v>2000000</v>
      </c>
      <c r="J335" s="88"/>
    </row>
    <row r="336" spans="1:10" ht="15">
      <c r="A336" s="58"/>
      <c r="B336" s="70"/>
      <c r="C336" s="45" t="s">
        <v>549</v>
      </c>
      <c r="D336" s="60"/>
      <c r="E336" s="60"/>
      <c r="F336" s="69"/>
      <c r="G336" s="60"/>
      <c r="H336" s="60"/>
      <c r="I336" s="99">
        <v>500000</v>
      </c>
      <c r="J336" s="88"/>
    </row>
    <row r="337" spans="1:10" ht="15">
      <c r="A337" s="58"/>
      <c r="B337" s="70"/>
      <c r="C337" s="45" t="s">
        <v>550</v>
      </c>
      <c r="D337" s="60"/>
      <c r="E337" s="60"/>
      <c r="F337" s="69"/>
      <c r="G337" s="60"/>
      <c r="H337" s="60"/>
      <c r="I337" s="99"/>
      <c r="J337" s="88"/>
    </row>
    <row r="338" spans="1:10" ht="15">
      <c r="A338" s="58"/>
      <c r="B338" s="70"/>
      <c r="C338" s="45" t="s">
        <v>554</v>
      </c>
      <c r="D338" s="60"/>
      <c r="E338" s="60"/>
      <c r="F338" s="69"/>
      <c r="G338" s="60"/>
      <c r="H338" s="60"/>
      <c r="I338" s="99">
        <v>500000</v>
      </c>
      <c r="J338" s="88"/>
    </row>
    <row r="339" spans="1:10" ht="15">
      <c r="A339" s="58"/>
      <c r="B339" s="70"/>
      <c r="C339" s="45" t="s">
        <v>555</v>
      </c>
      <c r="D339" s="60"/>
      <c r="E339" s="60"/>
      <c r="F339" s="69"/>
      <c r="G339" s="60"/>
      <c r="H339" s="60"/>
      <c r="I339" s="99">
        <v>1000000</v>
      </c>
      <c r="J339" s="88"/>
    </row>
    <row r="340" spans="1:10" ht="15">
      <c r="A340" s="58"/>
      <c r="B340" s="70"/>
      <c r="C340" s="45" t="s">
        <v>558</v>
      </c>
      <c r="D340" s="60"/>
      <c r="E340" s="60"/>
      <c r="F340" s="69"/>
      <c r="G340" s="60"/>
      <c r="H340" s="60"/>
      <c r="I340" s="99">
        <v>1960000</v>
      </c>
      <c r="J340" s="88"/>
    </row>
    <row r="341" spans="1:10" ht="15">
      <c r="A341" s="58"/>
      <c r="B341" s="70">
        <v>3</v>
      </c>
      <c r="C341" s="45" t="s">
        <v>539</v>
      </c>
      <c r="D341" s="60"/>
      <c r="E341" s="60"/>
      <c r="F341" s="69"/>
      <c r="G341" s="60"/>
      <c r="H341" s="60"/>
      <c r="I341" s="99"/>
      <c r="J341" s="88"/>
    </row>
    <row r="342" spans="1:10" ht="15">
      <c r="A342" s="58"/>
      <c r="B342" s="70"/>
      <c r="C342" s="45" t="s">
        <v>540</v>
      </c>
      <c r="D342" s="60"/>
      <c r="E342" s="60"/>
      <c r="F342" s="69"/>
      <c r="G342" s="60"/>
      <c r="H342" s="60"/>
      <c r="I342" s="99">
        <f>11861000-1903500</f>
        <v>9957500</v>
      </c>
      <c r="J342" s="88"/>
    </row>
    <row r="343" spans="1:10" ht="15">
      <c r="A343" s="58"/>
      <c r="B343" s="70"/>
      <c r="C343" s="45" t="s">
        <v>541</v>
      </c>
      <c r="D343" s="60"/>
      <c r="E343" s="60"/>
      <c r="F343" s="69"/>
      <c r="G343" s="60"/>
      <c r="H343" s="60"/>
      <c r="I343" s="99">
        <v>100000</v>
      </c>
      <c r="J343" s="88"/>
    </row>
    <row r="344" spans="1:10" ht="15">
      <c r="A344" s="58"/>
      <c r="B344" s="70"/>
      <c r="C344" s="45" t="s">
        <v>542</v>
      </c>
      <c r="D344" s="60"/>
      <c r="E344" s="60"/>
      <c r="F344" s="69"/>
      <c r="G344" s="60"/>
      <c r="H344" s="60"/>
      <c r="I344" s="99">
        <v>1476500</v>
      </c>
      <c r="J344" s="88"/>
    </row>
    <row r="345" spans="1:10" ht="15">
      <c r="A345" s="58"/>
      <c r="B345" s="70"/>
      <c r="C345" s="45" t="s">
        <v>882</v>
      </c>
      <c r="D345" s="60"/>
      <c r="E345" s="60"/>
      <c r="F345" s="69"/>
      <c r="G345" s="60"/>
      <c r="H345" s="60"/>
      <c r="I345" s="99">
        <v>861000</v>
      </c>
      <c r="J345" s="114"/>
    </row>
    <row r="346" spans="1:10" ht="15">
      <c r="A346" s="58"/>
      <c r="B346" s="70"/>
      <c r="C346" s="45" t="s">
        <v>543</v>
      </c>
      <c r="D346" s="60"/>
      <c r="E346" s="60"/>
      <c r="F346" s="69"/>
      <c r="G346" s="60"/>
      <c r="H346" s="60"/>
      <c r="I346" s="99">
        <v>1500000</v>
      </c>
      <c r="J346" s="88"/>
    </row>
    <row r="347" spans="1:10" ht="15">
      <c r="A347" s="58"/>
      <c r="B347" s="70"/>
      <c r="C347" s="45" t="s">
        <v>547</v>
      </c>
      <c r="D347" s="60"/>
      <c r="E347" s="60"/>
      <c r="F347" s="69"/>
      <c r="G347" s="60"/>
      <c r="H347" s="60"/>
      <c r="I347" s="99">
        <v>431000</v>
      </c>
      <c r="J347" s="88"/>
    </row>
    <row r="348" spans="1:10" ht="15">
      <c r="A348" s="58"/>
      <c r="B348" s="70"/>
      <c r="C348" s="45" t="s">
        <v>548</v>
      </c>
      <c r="D348" s="60"/>
      <c r="E348" s="60"/>
      <c r="F348" s="69"/>
      <c r="G348" s="60"/>
      <c r="H348" s="60"/>
      <c r="I348" s="99">
        <v>2250000</v>
      </c>
      <c r="J348" s="88"/>
    </row>
    <row r="349" spans="1:10" ht="15">
      <c r="A349" s="58"/>
      <c r="B349" s="70"/>
      <c r="C349" s="45" t="s">
        <v>559</v>
      </c>
      <c r="D349" s="60"/>
      <c r="E349" s="60"/>
      <c r="F349" s="69"/>
      <c r="G349" s="60"/>
      <c r="H349" s="60"/>
      <c r="I349" s="99">
        <v>1284200</v>
      </c>
      <c r="J349" s="88"/>
    </row>
    <row r="350" spans="1:10" ht="15">
      <c r="A350" s="58"/>
      <c r="B350" s="70"/>
      <c r="C350" s="45" t="s">
        <v>608</v>
      </c>
      <c r="D350" s="60"/>
      <c r="E350" s="60"/>
      <c r="F350" s="69"/>
      <c r="G350" s="60"/>
      <c r="H350" s="60"/>
      <c r="I350" s="99">
        <v>300000</v>
      </c>
      <c r="J350" s="88"/>
    </row>
    <row r="351" spans="1:10" ht="15">
      <c r="A351" s="58"/>
      <c r="B351" s="70">
        <v>4</v>
      </c>
      <c r="C351" s="45" t="s">
        <v>883</v>
      </c>
      <c r="D351" s="60"/>
      <c r="E351" s="60"/>
      <c r="F351" s="69"/>
      <c r="G351" s="60"/>
      <c r="H351" s="60"/>
      <c r="I351" s="99">
        <v>57000000</v>
      </c>
      <c r="J351" s="88"/>
    </row>
    <row r="352" spans="1:10" ht="15">
      <c r="A352" s="58"/>
      <c r="B352" s="70">
        <v>5</v>
      </c>
      <c r="C352" s="45" t="s">
        <v>509</v>
      </c>
      <c r="D352" s="60"/>
      <c r="E352" s="60"/>
      <c r="F352" s="69"/>
      <c r="G352" s="60"/>
      <c r="H352" s="60"/>
      <c r="I352" s="99"/>
      <c r="J352" s="88"/>
    </row>
    <row r="353" spans="1:10" ht="15">
      <c r="A353" s="58"/>
      <c r="B353" s="70"/>
      <c r="C353" s="45" t="s">
        <v>544</v>
      </c>
      <c r="D353" s="60"/>
      <c r="E353" s="60"/>
      <c r="F353" s="69"/>
      <c r="G353" s="60"/>
      <c r="H353" s="60"/>
      <c r="I353" s="99">
        <v>25000</v>
      </c>
      <c r="J353" s="88"/>
    </row>
    <row r="354" spans="1:10" ht="15">
      <c r="A354" s="58"/>
      <c r="B354" s="70"/>
      <c r="C354" s="45" t="s">
        <v>556</v>
      </c>
      <c r="D354" s="60"/>
      <c r="E354" s="60"/>
      <c r="F354" s="69"/>
      <c r="G354" s="60"/>
      <c r="H354" s="60"/>
      <c r="I354" s="99">
        <v>1050000</v>
      </c>
      <c r="J354" s="88"/>
    </row>
    <row r="355" spans="1:10" ht="15">
      <c r="A355" s="58"/>
      <c r="B355" s="70"/>
      <c r="C355" s="45" t="s">
        <v>560</v>
      </c>
      <c r="D355" s="60"/>
      <c r="E355" s="60"/>
      <c r="F355" s="69"/>
      <c r="G355" s="60"/>
      <c r="H355" s="60"/>
      <c r="I355" s="99">
        <v>125000</v>
      </c>
      <c r="J355" s="88"/>
    </row>
    <row r="356" spans="1:10" ht="15">
      <c r="A356" s="58"/>
      <c r="B356" s="70"/>
      <c r="C356" s="45" t="s">
        <v>561</v>
      </c>
      <c r="D356" s="60"/>
      <c r="E356" s="60"/>
      <c r="F356" s="69"/>
      <c r="G356" s="60"/>
      <c r="H356" s="60"/>
      <c r="I356" s="99">
        <v>740000</v>
      </c>
      <c r="J356" s="88"/>
    </row>
    <row r="357" spans="1:10" ht="15">
      <c r="A357" s="58"/>
      <c r="B357" s="70"/>
      <c r="C357" s="45" t="s">
        <v>568</v>
      </c>
      <c r="D357" s="60"/>
      <c r="E357" s="60"/>
      <c r="F357" s="69"/>
      <c r="G357" s="60"/>
      <c r="H357" s="60"/>
      <c r="I357" s="99">
        <f>5930000-1120000</f>
        <v>4810000</v>
      </c>
      <c r="J357" s="88"/>
    </row>
    <row r="358" spans="1:10" ht="15">
      <c r="A358" s="58"/>
      <c r="B358" s="70">
        <v>6</v>
      </c>
      <c r="C358" s="45" t="s">
        <v>609</v>
      </c>
      <c r="D358" s="60"/>
      <c r="E358" s="60"/>
      <c r="F358" s="69"/>
      <c r="G358" s="60"/>
      <c r="H358" s="60"/>
      <c r="I358" s="99"/>
      <c r="J358" s="88"/>
    </row>
    <row r="359" spans="1:10" ht="15">
      <c r="A359" s="58"/>
      <c r="B359" s="70"/>
      <c r="C359" s="45" t="s">
        <v>610</v>
      </c>
      <c r="D359" s="60"/>
      <c r="E359" s="60"/>
      <c r="F359" s="69"/>
      <c r="G359" s="60"/>
      <c r="H359" s="60"/>
      <c r="I359" s="99">
        <v>500000</v>
      </c>
      <c r="J359" s="88"/>
    </row>
    <row r="360" spans="1:10" ht="15">
      <c r="A360" s="58"/>
      <c r="B360" s="70"/>
      <c r="C360" s="45" t="s">
        <v>611</v>
      </c>
      <c r="D360" s="60"/>
      <c r="E360" s="60"/>
      <c r="F360" s="69"/>
      <c r="G360" s="60"/>
      <c r="H360" s="60"/>
      <c r="I360" s="99">
        <v>500000</v>
      </c>
      <c r="J360" s="88"/>
    </row>
    <row r="361" spans="1:10" ht="15">
      <c r="A361" s="58"/>
      <c r="B361" s="70">
        <v>7</v>
      </c>
      <c r="C361" s="89" t="s">
        <v>232</v>
      </c>
      <c r="D361" s="60"/>
      <c r="E361" s="60"/>
      <c r="F361" s="69"/>
      <c r="G361" s="60"/>
      <c r="H361" s="60"/>
      <c r="I361" s="99">
        <v>70000</v>
      </c>
      <c r="J361" s="88"/>
    </row>
    <row r="362" spans="1:10" ht="15">
      <c r="A362" s="58"/>
      <c r="B362" s="70">
        <v>8</v>
      </c>
      <c r="C362" s="110" t="s">
        <v>563</v>
      </c>
      <c r="D362" s="60"/>
      <c r="E362" s="60"/>
      <c r="F362" s="69"/>
      <c r="G362" s="60"/>
      <c r="H362" s="60"/>
      <c r="I362" s="99">
        <f>500000+1000000+498000</f>
        <v>1998000</v>
      </c>
      <c r="J362" s="88"/>
    </row>
    <row r="363" spans="1:9" ht="15">
      <c r="A363" s="56"/>
      <c r="B363" s="241" t="s">
        <v>5</v>
      </c>
      <c r="C363" s="245"/>
      <c r="D363" s="245"/>
      <c r="E363" s="245"/>
      <c r="F363" s="65"/>
      <c r="G363" s="65"/>
      <c r="H363" s="71"/>
      <c r="I363" s="57">
        <f>SUM(I324:I362)</f>
        <v>98283625</v>
      </c>
    </row>
    <row r="364" spans="1:9" ht="15">
      <c r="A364" s="39"/>
      <c r="B364" s="39"/>
      <c r="C364" s="39"/>
      <c r="D364" s="39"/>
      <c r="E364" s="39"/>
      <c r="F364" s="39" t="s">
        <v>198</v>
      </c>
      <c r="G364" s="39"/>
      <c r="H364" s="39"/>
      <c r="I364" s="39" t="s">
        <v>198</v>
      </c>
    </row>
    <row r="365" spans="1:9" ht="15">
      <c r="A365" s="39"/>
      <c r="B365" s="39"/>
      <c r="C365" s="39"/>
      <c r="D365" s="38"/>
      <c r="E365" s="38"/>
      <c r="F365" s="240" t="s">
        <v>516</v>
      </c>
      <c r="G365" s="240"/>
      <c r="H365" s="240"/>
      <c r="I365" s="240"/>
    </row>
    <row r="366" spans="1:9" ht="15">
      <c r="A366" s="39"/>
      <c r="B366" s="39"/>
      <c r="C366" s="38" t="s">
        <v>199</v>
      </c>
      <c r="D366" s="38"/>
      <c r="E366" s="38"/>
      <c r="F366" s="240" t="s">
        <v>268</v>
      </c>
      <c r="G366" s="240"/>
      <c r="H366" s="240"/>
      <c r="I366" s="240"/>
    </row>
    <row r="367" spans="1:8" ht="15">
      <c r="A367" s="39"/>
      <c r="B367" s="39"/>
      <c r="C367" s="39"/>
      <c r="D367" s="39"/>
      <c r="E367" s="39"/>
      <c r="G367" s="39"/>
      <c r="H367" s="39"/>
    </row>
    <row r="368" spans="1:8" ht="15">
      <c r="A368" s="39"/>
      <c r="B368" s="61"/>
      <c r="C368" s="272" t="s">
        <v>866</v>
      </c>
      <c r="D368" s="39"/>
      <c r="E368" s="39"/>
      <c r="G368" s="270" t="s">
        <v>866</v>
      </c>
      <c r="H368" s="39"/>
    </row>
    <row r="369" spans="1:9" ht="15">
      <c r="A369" s="39"/>
      <c r="B369" s="61"/>
      <c r="C369" s="38" t="s">
        <v>269</v>
      </c>
      <c r="D369" s="62"/>
      <c r="E369" s="62"/>
      <c r="F369" s="240" t="s">
        <v>351</v>
      </c>
      <c r="G369" s="240"/>
      <c r="H369" s="240"/>
      <c r="I369" s="240"/>
    </row>
    <row r="370" spans="6:9" ht="15">
      <c r="F370" s="240"/>
      <c r="G370" s="240"/>
      <c r="H370" s="240"/>
      <c r="I370" s="240"/>
    </row>
    <row r="371" spans="6:9" ht="15">
      <c r="F371" s="240"/>
      <c r="G371" s="240"/>
      <c r="H371" s="240"/>
      <c r="I371" s="240"/>
    </row>
  </sheetData>
  <sheetProtection/>
  <mergeCells count="76">
    <mergeCell ref="E54:F54"/>
    <mergeCell ref="A112:I112"/>
    <mergeCell ref="A114:C114"/>
    <mergeCell ref="A73:I73"/>
    <mergeCell ref="A75:C75"/>
    <mergeCell ref="A62:I62"/>
    <mergeCell ref="A63:I63"/>
    <mergeCell ref="A64:I64"/>
    <mergeCell ref="A66:A68"/>
    <mergeCell ref="B66:C68"/>
    <mergeCell ref="D66:E66"/>
    <mergeCell ref="F66:F68"/>
    <mergeCell ref="G66:H66"/>
    <mergeCell ref="I66:I68"/>
    <mergeCell ref="D67:E67"/>
    <mergeCell ref="A115:I115"/>
    <mergeCell ref="G67:H67"/>
    <mergeCell ref="A69:I69"/>
    <mergeCell ref="A72:C72"/>
    <mergeCell ref="A76:I76"/>
    <mergeCell ref="A78:C78"/>
    <mergeCell ref="A79:I79"/>
    <mergeCell ref="A88:C88"/>
    <mergeCell ref="A89:I89"/>
    <mergeCell ref="A111:C111"/>
    <mergeCell ref="A162:I162"/>
    <mergeCell ref="A186:C186"/>
    <mergeCell ref="A117:C117"/>
    <mergeCell ref="A118:I118"/>
    <mergeCell ref="A139:C139"/>
    <mergeCell ref="A140:I140"/>
    <mergeCell ref="A187:I187"/>
    <mergeCell ref="A244:C244"/>
    <mergeCell ref="A245:I245"/>
    <mergeCell ref="A248:C248"/>
    <mergeCell ref="B301:B302"/>
    <mergeCell ref="C301:H302"/>
    <mergeCell ref="A253:I253"/>
    <mergeCell ref="A255:C255"/>
    <mergeCell ref="A249:I249"/>
    <mergeCell ref="A299:I299"/>
    <mergeCell ref="A161:C161"/>
    <mergeCell ref="B319:E319"/>
    <mergeCell ref="A252:C252"/>
    <mergeCell ref="A256:I256"/>
    <mergeCell ref="A289:C289"/>
    <mergeCell ref="A290:C290"/>
    <mergeCell ref="F292:I292"/>
    <mergeCell ref="F293:I293"/>
    <mergeCell ref="F296:I296"/>
    <mergeCell ref="A298:I298"/>
    <mergeCell ref="F370:I370"/>
    <mergeCell ref="F371:I371"/>
    <mergeCell ref="B322:B323"/>
    <mergeCell ref="C322:H323"/>
    <mergeCell ref="B363:E363"/>
    <mergeCell ref="F365:I365"/>
    <mergeCell ref="F366:I366"/>
    <mergeCell ref="F369:I369"/>
    <mergeCell ref="F25:F26"/>
    <mergeCell ref="A1:F1"/>
    <mergeCell ref="A2:F2"/>
    <mergeCell ref="A3:F3"/>
    <mergeCell ref="A4:F4"/>
    <mergeCell ref="A5:F5"/>
    <mergeCell ref="E7:F7"/>
    <mergeCell ref="E52:F52"/>
    <mergeCell ref="E55:F55"/>
    <mergeCell ref="A8:B8"/>
    <mergeCell ref="A9:B9"/>
    <mergeCell ref="A10:B10"/>
    <mergeCell ref="E24:F24"/>
    <mergeCell ref="B25:B26"/>
    <mergeCell ref="C25:C26"/>
    <mergeCell ref="D25:D26"/>
    <mergeCell ref="E25:E26"/>
  </mergeCells>
  <printOptions horizontalCentered="1"/>
  <pageMargins left="0.28" right="0.25" top="0.39" bottom="1.45" header="0.3" footer="0.3"/>
  <pageSetup orientation="portrait" paperSize="5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4"/>
  <sheetViews>
    <sheetView zoomScalePageLayoutView="0" workbookViewId="0" topLeftCell="A10">
      <selection activeCell="B13" sqref="B13:B18"/>
    </sheetView>
  </sheetViews>
  <sheetFormatPr defaultColWidth="11.00390625" defaultRowHeight="15"/>
  <cols>
    <col min="1" max="1" width="5.140625" style="0" bestFit="1" customWidth="1"/>
    <col min="2" max="2" width="4.28125" style="0" bestFit="1" customWidth="1"/>
    <col min="3" max="3" width="36.7109375" style="0" customWidth="1"/>
    <col min="4" max="4" width="18.7109375" style="0" customWidth="1"/>
    <col min="5" max="6" width="20.7109375" style="0" customWidth="1"/>
    <col min="7" max="8" width="15.7109375" style="0" customWidth="1"/>
    <col min="9" max="9" width="16.7109375" style="0" customWidth="1"/>
    <col min="10" max="10" width="14.7109375" style="0" customWidth="1"/>
    <col min="11" max="11" width="14.00390625" style="0" bestFit="1" customWidth="1"/>
    <col min="12" max="12" width="17.7109375" style="0" bestFit="1" customWidth="1"/>
    <col min="13" max="13" width="16.57421875" style="0" bestFit="1" customWidth="1"/>
    <col min="14" max="14" width="11.57421875" style="0" bestFit="1" customWidth="1"/>
    <col min="15" max="15" width="12.57421875" style="0" bestFit="1" customWidth="1"/>
  </cols>
  <sheetData>
    <row r="1" spans="1:6" ht="30">
      <c r="A1" s="256" t="s">
        <v>742</v>
      </c>
      <c r="B1" s="256"/>
      <c r="C1" s="256"/>
      <c r="D1" s="256"/>
      <c r="E1" s="256"/>
      <c r="F1" s="256"/>
    </row>
    <row r="2" spans="1:6" ht="30">
      <c r="A2" s="256" t="s">
        <v>743</v>
      </c>
      <c r="B2" s="256"/>
      <c r="C2" s="256"/>
      <c r="D2" s="256"/>
      <c r="E2" s="256"/>
      <c r="F2" s="256"/>
    </row>
    <row r="3" spans="1:6" ht="30">
      <c r="A3" s="256" t="s">
        <v>744</v>
      </c>
      <c r="B3" s="256"/>
      <c r="C3" s="256"/>
      <c r="D3" s="256"/>
      <c r="E3" s="256"/>
      <c r="F3" s="256"/>
    </row>
    <row r="4" spans="1:6" ht="15">
      <c r="A4" s="257" t="s">
        <v>745</v>
      </c>
      <c r="B4" s="257"/>
      <c r="C4" s="257"/>
      <c r="D4" s="257"/>
      <c r="E4" s="257"/>
      <c r="F4" s="257"/>
    </row>
    <row r="5" spans="1:6" ht="15.75" thickBot="1">
      <c r="A5" s="258" t="s">
        <v>746</v>
      </c>
      <c r="B5" s="258"/>
      <c r="C5" s="258"/>
      <c r="D5" s="258"/>
      <c r="E5" s="258"/>
      <c r="F5" s="258"/>
    </row>
    <row r="6" spans="1:6" ht="15.75" thickTop="1">
      <c r="A6" s="133"/>
      <c r="B6" s="133"/>
      <c r="C6" s="133"/>
      <c r="D6" s="133"/>
      <c r="E6" s="133"/>
      <c r="F6" s="133"/>
    </row>
    <row r="7" spans="1:6" ht="18.75">
      <c r="A7" s="134"/>
      <c r="B7" s="134"/>
      <c r="C7" s="134"/>
      <c r="D7" s="134"/>
      <c r="E7" s="259" t="s">
        <v>830</v>
      </c>
      <c r="F7" s="259"/>
    </row>
    <row r="8" spans="1:6" ht="18.75">
      <c r="A8" s="246" t="s">
        <v>748</v>
      </c>
      <c r="B8" s="246"/>
      <c r="C8" s="136" t="s">
        <v>831</v>
      </c>
      <c r="D8" s="137"/>
      <c r="E8" s="136"/>
      <c r="F8" s="137"/>
    </row>
    <row r="9" spans="1:6" ht="18.75">
      <c r="A9" s="246" t="s">
        <v>749</v>
      </c>
      <c r="B9" s="246"/>
      <c r="C9" s="136" t="s">
        <v>750</v>
      </c>
      <c r="D9" s="137"/>
      <c r="E9" s="136"/>
      <c r="F9" s="136"/>
    </row>
    <row r="10" spans="1:6" ht="18.75">
      <c r="A10" s="246" t="s">
        <v>751</v>
      </c>
      <c r="B10" s="246"/>
      <c r="C10" s="136" t="s">
        <v>752</v>
      </c>
      <c r="D10" s="137"/>
      <c r="E10" s="136"/>
      <c r="F10" s="136"/>
    </row>
    <row r="11" spans="1:6" ht="18.75">
      <c r="A11" s="136"/>
      <c r="B11" s="136"/>
      <c r="C11" s="136"/>
      <c r="D11" s="136"/>
      <c r="E11" s="136"/>
      <c r="F11" s="136"/>
    </row>
    <row r="12" spans="1:6" ht="18.75">
      <c r="A12" s="136"/>
      <c r="B12" s="136" t="s">
        <v>753</v>
      </c>
      <c r="C12" s="137"/>
      <c r="D12" s="137"/>
      <c r="E12" s="136"/>
      <c r="F12" s="136"/>
    </row>
    <row r="13" spans="1:6" ht="18.75">
      <c r="A13" s="136"/>
      <c r="B13" s="136" t="s">
        <v>860</v>
      </c>
      <c r="C13" s="137"/>
      <c r="D13" s="137"/>
      <c r="E13" s="136"/>
      <c r="F13" s="136"/>
    </row>
    <row r="14" spans="1:6" ht="18.75">
      <c r="A14" s="136"/>
      <c r="B14" s="136" t="s">
        <v>861</v>
      </c>
      <c r="C14" s="137"/>
      <c r="D14" s="137"/>
      <c r="E14" s="136"/>
      <c r="F14" s="136"/>
    </row>
    <row r="15" spans="1:6" ht="18.75">
      <c r="A15" s="136"/>
      <c r="B15" s="136" t="s">
        <v>862</v>
      </c>
      <c r="C15" s="137"/>
      <c r="D15" s="137"/>
      <c r="E15" s="136"/>
      <c r="F15" s="136"/>
    </row>
    <row r="16" spans="1:6" ht="18.75">
      <c r="A16" s="136"/>
      <c r="B16" s="136" t="s">
        <v>863</v>
      </c>
      <c r="C16" s="137"/>
      <c r="D16" s="137"/>
      <c r="E16" s="136"/>
      <c r="F16" s="136"/>
    </row>
    <row r="17" spans="1:6" ht="18.75">
      <c r="A17" s="136"/>
      <c r="B17" s="136" t="s">
        <v>864</v>
      </c>
      <c r="C17" s="136"/>
      <c r="D17" s="137"/>
      <c r="E17" s="136"/>
      <c r="F17" s="136"/>
    </row>
    <row r="18" spans="1:6" ht="18.75">
      <c r="A18" s="136"/>
      <c r="B18" s="136" t="s">
        <v>865</v>
      </c>
      <c r="C18" s="136"/>
      <c r="D18" s="137"/>
      <c r="E18" s="136"/>
      <c r="F18" s="137"/>
    </row>
    <row r="19" spans="1:6" ht="18.75">
      <c r="A19" s="136"/>
      <c r="B19" s="136" t="s">
        <v>754</v>
      </c>
      <c r="C19" s="136"/>
      <c r="D19" s="137"/>
      <c r="E19" s="136"/>
      <c r="F19" s="136"/>
    </row>
    <row r="20" spans="1:6" ht="18.75">
      <c r="A20" s="136"/>
      <c r="B20" s="137"/>
      <c r="C20" s="136"/>
      <c r="D20" s="136"/>
      <c r="E20" s="200"/>
      <c r="F20" s="200"/>
    </row>
    <row r="21" spans="1:6" ht="19.5">
      <c r="A21" s="136"/>
      <c r="C21" s="138" t="s">
        <v>755</v>
      </c>
      <c r="D21" s="139"/>
      <c r="E21" s="136"/>
      <c r="F21" s="137"/>
    </row>
    <row r="22" spans="2:6" ht="18.75">
      <c r="B22" s="135" t="s">
        <v>869</v>
      </c>
      <c r="C22" s="135"/>
      <c r="D22" s="135"/>
      <c r="E22" s="135"/>
      <c r="F22" s="137"/>
    </row>
    <row r="23" spans="2:6" ht="18.75">
      <c r="B23" s="135" t="s">
        <v>832</v>
      </c>
      <c r="C23" s="135"/>
      <c r="D23" s="135"/>
      <c r="E23" s="135"/>
      <c r="F23" s="137"/>
    </row>
    <row r="24" spans="1:6" ht="15.75">
      <c r="A24" s="140"/>
      <c r="B24" s="140"/>
      <c r="C24" s="140"/>
      <c r="D24" s="140"/>
      <c r="E24" s="261" t="s">
        <v>757</v>
      </c>
      <c r="F24" s="261"/>
    </row>
    <row r="25" spans="1:6" ht="15.75">
      <c r="A25" s="140"/>
      <c r="B25" s="262" t="s">
        <v>2</v>
      </c>
      <c r="C25" s="262" t="s">
        <v>193</v>
      </c>
      <c r="D25" s="264" t="s">
        <v>758</v>
      </c>
      <c r="E25" s="264" t="s">
        <v>759</v>
      </c>
      <c r="F25" s="264" t="s">
        <v>760</v>
      </c>
    </row>
    <row r="26" spans="1:6" ht="15.75">
      <c r="A26" s="140"/>
      <c r="B26" s="263"/>
      <c r="C26" s="263"/>
      <c r="D26" s="265"/>
      <c r="E26" s="265"/>
      <c r="F26" s="265"/>
    </row>
    <row r="27" spans="1:6" ht="15.75">
      <c r="A27" s="140"/>
      <c r="B27" s="141">
        <v>1</v>
      </c>
      <c r="C27" s="142" t="s">
        <v>6</v>
      </c>
      <c r="D27" s="143"/>
      <c r="E27" s="143"/>
      <c r="F27" s="144"/>
    </row>
    <row r="28" spans="1:6" ht="15.75">
      <c r="A28" s="140"/>
      <c r="B28" s="141"/>
      <c r="C28" s="142" t="s">
        <v>761</v>
      </c>
      <c r="D28" s="143"/>
      <c r="E28" s="143"/>
      <c r="F28" s="144"/>
    </row>
    <row r="29" spans="1:6" ht="18.75">
      <c r="A29" s="140"/>
      <c r="B29" s="145"/>
      <c r="C29" s="146" t="s">
        <v>833</v>
      </c>
      <c r="D29" s="147"/>
      <c r="E29" s="147"/>
      <c r="F29" s="148">
        <f>'[1]Agustus'!F28</f>
        <v>1645559568</v>
      </c>
    </row>
    <row r="30" spans="1:6" ht="18.75">
      <c r="A30" s="140"/>
      <c r="B30" s="145"/>
      <c r="C30" s="146" t="s">
        <v>834</v>
      </c>
      <c r="D30" s="200">
        <v>111893000</v>
      </c>
      <c r="E30" s="150"/>
      <c r="F30" s="147"/>
    </row>
    <row r="31" spans="1:6" ht="18.75">
      <c r="A31" s="140"/>
      <c r="B31" s="145"/>
      <c r="C31" s="146" t="s">
        <v>835</v>
      </c>
      <c r="D31" s="147"/>
      <c r="E31" s="201">
        <v>319418900</v>
      </c>
      <c r="F31" s="147"/>
    </row>
    <row r="32" spans="1:6" ht="18.75">
      <c r="A32" s="140"/>
      <c r="B32" s="145"/>
      <c r="C32" s="152" t="s">
        <v>765</v>
      </c>
      <c r="D32" s="147"/>
      <c r="E32" s="157"/>
      <c r="F32" s="148">
        <f>F29+D30-E31</f>
        <v>1438033668</v>
      </c>
    </row>
    <row r="33" spans="1:6" ht="18.75">
      <c r="A33" s="140"/>
      <c r="B33" s="141"/>
      <c r="C33" s="153" t="s">
        <v>766</v>
      </c>
      <c r="D33" s="162"/>
      <c r="E33" s="162"/>
      <c r="F33" s="155"/>
    </row>
    <row r="34" spans="1:6" ht="18.75">
      <c r="A34" s="140"/>
      <c r="B34" s="145"/>
      <c r="C34" s="146" t="s">
        <v>833</v>
      </c>
      <c r="D34" s="157"/>
      <c r="E34" s="158"/>
      <c r="F34" s="157">
        <f>'[1]maret'!F33</f>
        <v>2675000</v>
      </c>
    </row>
    <row r="35" spans="1:6" ht="18.75">
      <c r="A35" s="140"/>
      <c r="B35" s="145"/>
      <c r="C35" s="146" t="s">
        <v>834</v>
      </c>
      <c r="D35" s="151">
        <f>0</f>
        <v>0</v>
      </c>
      <c r="E35" s="158"/>
      <c r="F35" s="151"/>
    </row>
    <row r="36" spans="1:6" ht="18.75">
      <c r="A36" s="140"/>
      <c r="B36" s="145"/>
      <c r="C36" s="146" t="s">
        <v>835</v>
      </c>
      <c r="D36" s="157"/>
      <c r="E36" s="158">
        <f>0</f>
        <v>0</v>
      </c>
      <c r="F36" s="151"/>
    </row>
    <row r="37" spans="1:6" ht="19.5">
      <c r="A37" s="140"/>
      <c r="B37" s="145"/>
      <c r="C37" s="152" t="s">
        <v>765</v>
      </c>
      <c r="D37" s="159"/>
      <c r="E37" s="159"/>
      <c r="F37" s="148">
        <f>F34+D35-E36</f>
        <v>2675000</v>
      </c>
    </row>
    <row r="38" spans="1:6" ht="18.75">
      <c r="A38" s="140"/>
      <c r="B38" s="145"/>
      <c r="C38" s="152" t="s">
        <v>767</v>
      </c>
      <c r="D38" s="148">
        <f>D30+D35</f>
        <v>111893000</v>
      </c>
      <c r="E38" s="160">
        <f>E31+E36</f>
        <v>319418900</v>
      </c>
      <c r="F38" s="161">
        <f>F32+F37</f>
        <v>1440708668</v>
      </c>
    </row>
    <row r="39" spans="1:6" ht="18.75">
      <c r="A39" s="140"/>
      <c r="B39" s="141">
        <v>2</v>
      </c>
      <c r="C39" s="153" t="s">
        <v>341</v>
      </c>
      <c r="D39" s="162"/>
      <c r="E39" s="163"/>
      <c r="F39" s="164"/>
    </row>
    <row r="40" spans="1:6" ht="18.75">
      <c r="A40" s="140"/>
      <c r="B40" s="141"/>
      <c r="C40" s="153" t="s">
        <v>761</v>
      </c>
      <c r="D40" s="162"/>
      <c r="E40" s="163"/>
      <c r="F40" s="164"/>
    </row>
    <row r="41" spans="1:6" ht="18.75">
      <c r="A41" s="165"/>
      <c r="B41" s="145"/>
      <c r="C41" s="146" t="s">
        <v>833</v>
      </c>
      <c r="D41" s="147"/>
      <c r="E41" s="166"/>
      <c r="F41" s="160">
        <f>'[1]Agustus'!F40</f>
        <v>1365008257</v>
      </c>
    </row>
    <row r="42" spans="1:6" ht="18.75">
      <c r="A42" s="167"/>
      <c r="B42" s="145"/>
      <c r="C42" s="146" t="s">
        <v>834</v>
      </c>
      <c r="D42" s="200">
        <v>76322269</v>
      </c>
      <c r="E42" s="168"/>
      <c r="F42" s="166"/>
    </row>
    <row r="43" spans="1:6" ht="18.75">
      <c r="A43" s="140"/>
      <c r="B43" s="145"/>
      <c r="C43" s="146" t="s">
        <v>835</v>
      </c>
      <c r="D43" s="150"/>
      <c r="E43" s="169">
        <v>46642084</v>
      </c>
      <c r="F43" s="166"/>
    </row>
    <row r="44" spans="1:6" ht="19.5">
      <c r="A44" s="140"/>
      <c r="B44" s="141"/>
      <c r="C44" s="152" t="s">
        <v>768</v>
      </c>
      <c r="D44" s="159"/>
      <c r="E44" s="170"/>
      <c r="F44" s="160">
        <f>F41+D42-E43</f>
        <v>1394688442</v>
      </c>
    </row>
    <row r="45" spans="1:6" ht="18.75">
      <c r="A45" s="140"/>
      <c r="B45" s="145"/>
      <c r="C45" s="171" t="s">
        <v>836</v>
      </c>
      <c r="D45" s="172">
        <f>D30+D42</f>
        <v>188215269</v>
      </c>
      <c r="E45" s="172">
        <f>E31+E43</f>
        <v>366060984</v>
      </c>
      <c r="F45" s="173">
        <f>F38+F44</f>
        <v>2835397110</v>
      </c>
    </row>
    <row r="46" spans="1:6" ht="15.75">
      <c r="A46" s="174" t="s">
        <v>770</v>
      </c>
      <c r="B46" s="174"/>
      <c r="C46" s="174"/>
      <c r="D46" s="174"/>
      <c r="E46" s="174"/>
      <c r="F46" s="174"/>
    </row>
    <row r="47" spans="1:6" ht="18.75">
      <c r="A47" s="175"/>
      <c r="B47" s="176" t="s">
        <v>771</v>
      </c>
      <c r="C47" s="137"/>
      <c r="D47" s="177"/>
      <c r="E47" s="178"/>
      <c r="F47" s="197"/>
    </row>
    <row r="48" spans="1:6" ht="18.75">
      <c r="A48" s="175"/>
      <c r="B48" s="176" t="s">
        <v>772</v>
      </c>
      <c r="C48" s="137"/>
      <c r="D48" s="177"/>
      <c r="E48" s="137"/>
      <c r="F48" s="179"/>
    </row>
    <row r="49" spans="1:6" ht="18.75">
      <c r="A49" s="175"/>
      <c r="B49" s="176" t="s">
        <v>773</v>
      </c>
      <c r="C49" s="137"/>
      <c r="D49" s="177"/>
      <c r="E49" s="137"/>
      <c r="F49" s="197"/>
    </row>
    <row r="50" spans="1:6" ht="18.75">
      <c r="A50" s="140"/>
      <c r="B50" s="181"/>
      <c r="C50" s="182" t="s">
        <v>774</v>
      </c>
      <c r="D50" s="183"/>
      <c r="E50" s="182"/>
      <c r="F50" s="180"/>
    </row>
    <row r="51" spans="1:6" ht="19.5">
      <c r="A51" s="184"/>
      <c r="B51" s="181"/>
      <c r="C51" s="185" t="s">
        <v>775</v>
      </c>
      <c r="D51" s="186"/>
      <c r="E51" s="187"/>
      <c r="F51" s="188"/>
    </row>
    <row r="52" spans="1:6" ht="18.75">
      <c r="A52" s="184"/>
      <c r="B52" s="184"/>
      <c r="C52" s="189" t="s">
        <v>199</v>
      </c>
      <c r="D52" s="137"/>
      <c r="E52" s="266" t="s">
        <v>776</v>
      </c>
      <c r="F52" s="266"/>
    </row>
    <row r="53" spans="1:6" ht="18.75">
      <c r="A53" s="184"/>
      <c r="B53" s="184"/>
      <c r="C53" s="189"/>
      <c r="D53" s="137"/>
      <c r="E53" s="190"/>
      <c r="F53" s="190"/>
    </row>
    <row r="54" spans="1:6" ht="18.75">
      <c r="A54" s="184"/>
      <c r="B54" s="184"/>
      <c r="C54" s="273" t="s">
        <v>866</v>
      </c>
      <c r="D54" s="137"/>
      <c r="E54" s="259" t="s">
        <v>866</v>
      </c>
      <c r="F54" s="259"/>
    </row>
    <row r="55" spans="1:6" ht="18.75">
      <c r="A55" s="184"/>
      <c r="B55" s="184"/>
      <c r="C55" s="191" t="s">
        <v>777</v>
      </c>
      <c r="D55" s="192"/>
      <c r="E55" s="260" t="s">
        <v>778</v>
      </c>
      <c r="F55" s="260"/>
    </row>
    <row r="56" spans="1:6" ht="18.75">
      <c r="A56" s="181"/>
      <c r="B56" s="193" t="s">
        <v>779</v>
      </c>
      <c r="C56" s="136"/>
      <c r="D56" s="194"/>
      <c r="E56" s="184"/>
      <c r="F56" s="184"/>
    </row>
    <row r="57" spans="1:6" ht="18.75">
      <c r="A57" s="181"/>
      <c r="B57" s="136" t="s">
        <v>780</v>
      </c>
      <c r="C57" s="136"/>
      <c r="D57" s="195"/>
      <c r="E57" s="184"/>
      <c r="F57" s="184"/>
    </row>
    <row r="58" spans="1:6" ht="18.75">
      <c r="A58" s="181"/>
      <c r="B58" s="136" t="s">
        <v>781</v>
      </c>
      <c r="C58" s="136"/>
      <c r="D58" s="140"/>
      <c r="E58" s="184"/>
      <c r="F58" s="184"/>
    </row>
    <row r="59" spans="1:6" ht="18.75">
      <c r="A59" s="181"/>
      <c r="B59" s="136" t="s">
        <v>782</v>
      </c>
      <c r="C59" s="136"/>
      <c r="D59" s="140"/>
      <c r="E59" s="184"/>
      <c r="F59" s="184"/>
    </row>
    <row r="60" spans="1:6" ht="18.75">
      <c r="A60" s="181"/>
      <c r="B60" s="136" t="s">
        <v>783</v>
      </c>
      <c r="C60" s="136"/>
      <c r="D60" s="140"/>
      <c r="E60" s="184"/>
      <c r="F60" s="184"/>
    </row>
    <row r="63" spans="1:9" ht="22.5">
      <c r="A63" s="206" t="s">
        <v>0</v>
      </c>
      <c r="B63" s="206"/>
      <c r="C63" s="206"/>
      <c r="D63" s="206"/>
      <c r="E63" s="206"/>
      <c r="F63" s="206"/>
      <c r="G63" s="206"/>
      <c r="H63" s="206"/>
      <c r="I63" s="206"/>
    </row>
    <row r="64" spans="1:9" ht="22.5">
      <c r="A64" s="206" t="s">
        <v>1</v>
      </c>
      <c r="B64" s="206"/>
      <c r="C64" s="206"/>
      <c r="D64" s="206"/>
      <c r="E64" s="206"/>
      <c r="F64" s="206"/>
      <c r="G64" s="206"/>
      <c r="H64" s="206"/>
      <c r="I64" s="206"/>
    </row>
    <row r="65" spans="1:9" ht="20.25">
      <c r="A65" s="207" t="s">
        <v>569</v>
      </c>
      <c r="B65" s="207"/>
      <c r="C65" s="207"/>
      <c r="D65" s="207"/>
      <c r="E65" s="207"/>
      <c r="F65" s="207"/>
      <c r="G65" s="207"/>
      <c r="H65" s="207"/>
      <c r="I65" s="207"/>
    </row>
    <row r="66" spans="1:9" ht="15.75" thickBot="1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Top="1">
      <c r="A67" s="208" t="s">
        <v>2</v>
      </c>
      <c r="B67" s="211" t="s">
        <v>3</v>
      </c>
      <c r="C67" s="267"/>
      <c r="D67" s="217" t="s">
        <v>4</v>
      </c>
      <c r="E67" s="218"/>
      <c r="F67" s="219" t="s">
        <v>5</v>
      </c>
      <c r="G67" s="217" t="s">
        <v>4</v>
      </c>
      <c r="H67" s="218"/>
      <c r="I67" s="219" t="s">
        <v>5</v>
      </c>
    </row>
    <row r="68" spans="1:9" ht="15">
      <c r="A68" s="209"/>
      <c r="B68" s="213"/>
      <c r="C68" s="268"/>
      <c r="D68" s="222" t="s">
        <v>515</v>
      </c>
      <c r="E68" s="223"/>
      <c r="F68" s="220"/>
      <c r="G68" s="222" t="s">
        <v>570</v>
      </c>
      <c r="H68" s="223"/>
      <c r="I68" s="220"/>
    </row>
    <row r="69" spans="1:12" ht="15">
      <c r="A69" s="210"/>
      <c r="B69" s="215"/>
      <c r="C69" s="269"/>
      <c r="D69" s="2" t="s">
        <v>6</v>
      </c>
      <c r="E69" s="2" t="s">
        <v>7</v>
      </c>
      <c r="F69" s="221"/>
      <c r="G69" s="2" t="s">
        <v>6</v>
      </c>
      <c r="H69" s="2" t="s">
        <v>7</v>
      </c>
      <c r="I69" s="221"/>
      <c r="L69" t="s">
        <v>198</v>
      </c>
    </row>
    <row r="70" spans="1:9" ht="15">
      <c r="A70" s="230" t="s">
        <v>8</v>
      </c>
      <c r="B70" s="231"/>
      <c r="C70" s="231"/>
      <c r="D70" s="231"/>
      <c r="E70" s="231"/>
      <c r="F70" s="231"/>
      <c r="G70" s="231"/>
      <c r="H70" s="231"/>
      <c r="I70" s="232"/>
    </row>
    <row r="71" spans="1:9" ht="15">
      <c r="A71" s="80">
        <v>1</v>
      </c>
      <c r="B71" s="3">
        <v>1</v>
      </c>
      <c r="C71" s="4" t="s">
        <v>9</v>
      </c>
      <c r="D71" s="5"/>
      <c r="E71" s="5">
        <v>5000000</v>
      </c>
      <c r="F71" s="6">
        <f>SUM(D71:E71)</f>
        <v>5000000</v>
      </c>
      <c r="G71" s="5"/>
      <c r="H71" s="5">
        <v>5000000</v>
      </c>
      <c r="I71" s="6">
        <f>SUM(G71:H71)</f>
        <v>5000000</v>
      </c>
    </row>
    <row r="72" spans="1:9" ht="15">
      <c r="A72" s="80">
        <v>2</v>
      </c>
      <c r="B72" s="3">
        <v>2</v>
      </c>
      <c r="C72" s="4" t="s">
        <v>10</v>
      </c>
      <c r="D72" s="5"/>
      <c r="E72" s="5"/>
      <c r="F72" s="6">
        <f>SUM(D72:E72)</f>
        <v>0</v>
      </c>
      <c r="G72" s="5"/>
      <c r="H72" s="5"/>
      <c r="I72" s="6">
        <f>SUM(G72:H72)</f>
        <v>0</v>
      </c>
    </row>
    <row r="73" spans="1:9" ht="15">
      <c r="A73" s="224" t="s">
        <v>5</v>
      </c>
      <c r="B73" s="225"/>
      <c r="C73" s="225"/>
      <c r="D73" s="7">
        <f>SUM(D71:D72)</f>
        <v>0</v>
      </c>
      <c r="E73" s="8">
        <f>SUM(E71:E72)</f>
        <v>5000000</v>
      </c>
      <c r="F73" s="7">
        <f>SUM(D73:E73)</f>
        <v>5000000</v>
      </c>
      <c r="G73" s="7">
        <f>SUM(G71:G72)</f>
        <v>0</v>
      </c>
      <c r="H73" s="8">
        <f>SUM(H71:H72)</f>
        <v>5000000</v>
      </c>
      <c r="I73" s="7">
        <f>SUM(G73:H73)</f>
        <v>5000000</v>
      </c>
    </row>
    <row r="74" spans="1:9" ht="15">
      <c r="A74" s="224" t="s">
        <v>564</v>
      </c>
      <c r="B74" s="225"/>
      <c r="C74" s="225"/>
      <c r="D74" s="225"/>
      <c r="E74" s="225"/>
      <c r="F74" s="225"/>
      <c r="G74" s="225"/>
      <c r="H74" s="225"/>
      <c r="I74" s="226"/>
    </row>
    <row r="75" spans="1:9" ht="15">
      <c r="A75" s="111">
        <v>3</v>
      </c>
      <c r="B75" s="111">
        <v>1</v>
      </c>
      <c r="C75" s="22" t="s">
        <v>565</v>
      </c>
      <c r="D75" s="5"/>
      <c r="E75" s="14">
        <v>150000000</v>
      </c>
      <c r="F75" s="5">
        <f>SUM(D75:E75)</f>
        <v>150000000</v>
      </c>
      <c r="G75" s="5"/>
      <c r="H75" s="14"/>
      <c r="I75" s="5">
        <f>SUM(G75:H75)</f>
        <v>0</v>
      </c>
    </row>
    <row r="76" spans="1:9" ht="15">
      <c r="A76" s="239" t="s">
        <v>5</v>
      </c>
      <c r="B76" s="239"/>
      <c r="C76" s="239"/>
      <c r="D76" s="7">
        <f aca="true" t="shared" si="0" ref="D76:I76">SUM(D75)</f>
        <v>0</v>
      </c>
      <c r="E76" s="7">
        <f t="shared" si="0"/>
        <v>150000000</v>
      </c>
      <c r="F76" s="7">
        <f t="shared" si="0"/>
        <v>150000000</v>
      </c>
      <c r="G76" s="7">
        <f t="shared" si="0"/>
        <v>0</v>
      </c>
      <c r="H76" s="7">
        <f t="shared" si="0"/>
        <v>0</v>
      </c>
      <c r="I76" s="7">
        <f t="shared" si="0"/>
        <v>0</v>
      </c>
    </row>
    <row r="77" spans="1:9" ht="15">
      <c r="A77" s="227" t="s">
        <v>11</v>
      </c>
      <c r="B77" s="228"/>
      <c r="C77" s="228"/>
      <c r="D77" s="228"/>
      <c r="E77" s="228"/>
      <c r="F77" s="228"/>
      <c r="G77" s="228"/>
      <c r="H77" s="228"/>
      <c r="I77" s="229"/>
    </row>
    <row r="78" spans="1:9" ht="15">
      <c r="A78" s="9">
        <v>4</v>
      </c>
      <c r="B78" s="9">
        <v>1</v>
      </c>
      <c r="C78" s="10" t="s">
        <v>12</v>
      </c>
      <c r="D78" s="5">
        <v>0</v>
      </c>
      <c r="E78" s="5"/>
      <c r="F78" s="6">
        <f>SUM(D78:E78)</f>
        <v>0</v>
      </c>
      <c r="G78" s="5">
        <f>2214199+2080214</f>
        <v>4294413</v>
      </c>
      <c r="H78" s="5"/>
      <c r="I78" s="6">
        <f>SUM(G78:H78)</f>
        <v>4294413</v>
      </c>
    </row>
    <row r="79" spans="1:9" ht="15">
      <c r="A79" s="224" t="s">
        <v>5</v>
      </c>
      <c r="B79" s="225"/>
      <c r="C79" s="225"/>
      <c r="D79" s="7">
        <f>SUM(D77:D78)</f>
        <v>0</v>
      </c>
      <c r="E79" s="8">
        <f>SUM(E77:E78)</f>
        <v>0</v>
      </c>
      <c r="F79" s="7">
        <f>SUM(D79:E79)</f>
        <v>0</v>
      </c>
      <c r="G79" s="7">
        <f>SUM(G77:G78)</f>
        <v>4294413</v>
      </c>
      <c r="H79" s="8">
        <f>SUM(H77:H78)</f>
        <v>0</v>
      </c>
      <c r="I79" s="7">
        <f>SUM(G79:H79)</f>
        <v>4294413</v>
      </c>
    </row>
    <row r="80" spans="1:9" ht="15">
      <c r="A80" s="224" t="s">
        <v>13</v>
      </c>
      <c r="B80" s="225"/>
      <c r="C80" s="225"/>
      <c r="D80" s="225"/>
      <c r="E80" s="225"/>
      <c r="F80" s="225"/>
      <c r="G80" s="225"/>
      <c r="H80" s="225"/>
      <c r="I80" s="226"/>
    </row>
    <row r="81" spans="1:9" ht="15">
      <c r="A81" s="11">
        <v>5</v>
      </c>
      <c r="B81" s="12">
        <v>1</v>
      </c>
      <c r="C81" s="95" t="s">
        <v>312</v>
      </c>
      <c r="D81" s="5">
        <v>2345000</v>
      </c>
      <c r="E81" s="5">
        <v>509000</v>
      </c>
      <c r="F81" s="6">
        <f aca="true" t="shared" si="1" ref="F81:F89">SUM(D81:E81)</f>
        <v>2854000</v>
      </c>
      <c r="G81" s="5">
        <v>2345000</v>
      </c>
      <c r="H81" s="5">
        <v>509000</v>
      </c>
      <c r="I81" s="6">
        <f aca="true" t="shared" si="2" ref="I81:I88">SUM(G81:H81)</f>
        <v>2854000</v>
      </c>
    </row>
    <row r="82" spans="1:9" ht="15">
      <c r="A82" s="11">
        <v>6</v>
      </c>
      <c r="B82" s="12">
        <v>2</v>
      </c>
      <c r="C82" s="13" t="s">
        <v>234</v>
      </c>
      <c r="D82" s="5">
        <v>1737689</v>
      </c>
      <c r="E82" s="5">
        <v>215550</v>
      </c>
      <c r="F82" s="6">
        <f t="shared" si="1"/>
        <v>1953239</v>
      </c>
      <c r="G82" s="5">
        <v>1736784</v>
      </c>
      <c r="H82" s="5">
        <v>215550</v>
      </c>
      <c r="I82" s="6">
        <f t="shared" si="2"/>
        <v>1952334</v>
      </c>
    </row>
    <row r="83" spans="1:9" ht="15">
      <c r="A83" s="11">
        <v>7</v>
      </c>
      <c r="B83" s="12">
        <v>3</v>
      </c>
      <c r="C83" s="13" t="s">
        <v>15</v>
      </c>
      <c r="D83" s="5">
        <v>2552350</v>
      </c>
      <c r="E83" s="14">
        <v>112100</v>
      </c>
      <c r="F83" s="6">
        <f t="shared" si="1"/>
        <v>2664450</v>
      </c>
      <c r="G83" s="5">
        <v>2538450</v>
      </c>
      <c r="H83" s="14">
        <v>112100</v>
      </c>
      <c r="I83" s="6">
        <f t="shared" si="2"/>
        <v>2650550</v>
      </c>
    </row>
    <row r="84" spans="1:9" ht="15">
      <c r="A84" s="11">
        <v>8</v>
      </c>
      <c r="B84" s="12">
        <v>4</v>
      </c>
      <c r="C84" s="13" t="s">
        <v>16</v>
      </c>
      <c r="D84" s="5"/>
      <c r="E84" s="5"/>
      <c r="F84" s="6">
        <f t="shared" si="1"/>
        <v>0</v>
      </c>
      <c r="G84" s="5"/>
      <c r="H84" s="5"/>
      <c r="I84" s="6">
        <f t="shared" si="2"/>
        <v>0</v>
      </c>
    </row>
    <row r="85" spans="1:9" ht="15">
      <c r="A85" s="11">
        <v>9</v>
      </c>
      <c r="B85" s="12">
        <v>5</v>
      </c>
      <c r="C85" s="13" t="s">
        <v>17</v>
      </c>
      <c r="D85" s="5"/>
      <c r="E85" s="5"/>
      <c r="F85" s="6">
        <f t="shared" si="1"/>
        <v>0</v>
      </c>
      <c r="G85" s="5"/>
      <c r="H85" s="5"/>
      <c r="I85" s="6">
        <f t="shared" si="2"/>
        <v>0</v>
      </c>
    </row>
    <row r="86" spans="1:9" ht="15">
      <c r="A86" s="11">
        <v>10</v>
      </c>
      <c r="B86" s="12">
        <v>6</v>
      </c>
      <c r="C86" s="13" t="s">
        <v>18</v>
      </c>
      <c r="D86" s="5"/>
      <c r="E86" s="5"/>
      <c r="F86" s="6">
        <f t="shared" si="1"/>
        <v>0</v>
      </c>
      <c r="G86" s="5"/>
      <c r="H86" s="5"/>
      <c r="I86" s="6">
        <f t="shared" si="2"/>
        <v>0</v>
      </c>
    </row>
    <row r="87" spans="1:9" ht="15">
      <c r="A87" s="11">
        <v>11</v>
      </c>
      <c r="B87" s="12">
        <v>7</v>
      </c>
      <c r="C87" s="15" t="s">
        <v>19</v>
      </c>
      <c r="D87" s="5">
        <v>209135</v>
      </c>
      <c r="E87" s="5">
        <v>58000</v>
      </c>
      <c r="F87" s="6">
        <f t="shared" si="1"/>
        <v>267135</v>
      </c>
      <c r="G87" s="5">
        <v>209135</v>
      </c>
      <c r="H87" s="5">
        <v>58000</v>
      </c>
      <c r="I87" s="6">
        <f t="shared" si="2"/>
        <v>267135</v>
      </c>
    </row>
    <row r="88" spans="1:9" ht="15">
      <c r="A88" s="11">
        <v>12</v>
      </c>
      <c r="B88" s="12">
        <v>8</v>
      </c>
      <c r="C88" s="13" t="s">
        <v>307</v>
      </c>
      <c r="D88" s="5">
        <v>2361666</v>
      </c>
      <c r="E88" s="5">
        <v>336000</v>
      </c>
      <c r="F88" s="6">
        <f t="shared" si="1"/>
        <v>2697666</v>
      </c>
      <c r="G88" s="5">
        <v>2488089</v>
      </c>
      <c r="H88" s="5">
        <v>330000</v>
      </c>
      <c r="I88" s="6">
        <f t="shared" si="2"/>
        <v>2818089</v>
      </c>
    </row>
    <row r="89" spans="1:11" ht="15">
      <c r="A89" s="224" t="s">
        <v>5</v>
      </c>
      <c r="B89" s="225"/>
      <c r="C89" s="225"/>
      <c r="D89" s="7">
        <f>SUM(D81:D88)</f>
        <v>9205840</v>
      </c>
      <c r="E89" s="7">
        <f>SUM(E81:E88)</f>
        <v>1230650</v>
      </c>
      <c r="F89" s="7">
        <f t="shared" si="1"/>
        <v>10436490</v>
      </c>
      <c r="G89" s="7">
        <f>SUM(G81:G88)</f>
        <v>9317458</v>
      </c>
      <c r="H89" s="7">
        <f>SUM(H81:H88)</f>
        <v>1224650</v>
      </c>
      <c r="I89" s="7">
        <f>SUM(G89:H89)</f>
        <v>10542108</v>
      </c>
      <c r="K89" s="16"/>
    </row>
    <row r="90" spans="1:9" ht="15">
      <c r="A90" s="224" t="s">
        <v>20</v>
      </c>
      <c r="B90" s="225"/>
      <c r="C90" s="225"/>
      <c r="D90" s="225"/>
      <c r="E90" s="225"/>
      <c r="F90" s="225"/>
      <c r="G90" s="225"/>
      <c r="H90" s="225"/>
      <c r="I90" s="226"/>
    </row>
    <row r="91" spans="1:9" ht="15">
      <c r="A91" s="17">
        <v>13</v>
      </c>
      <c r="B91" s="15">
        <v>1</v>
      </c>
      <c r="C91" s="13" t="s">
        <v>255</v>
      </c>
      <c r="D91" s="5">
        <v>2252550</v>
      </c>
      <c r="E91" s="18">
        <v>1306215</v>
      </c>
      <c r="F91" s="6">
        <f aca="true" t="shared" si="3" ref="F91:F111">SUM(D91:E91)</f>
        <v>3558765</v>
      </c>
      <c r="G91" s="5">
        <v>2271675</v>
      </c>
      <c r="H91" s="18">
        <v>1295215</v>
      </c>
      <c r="I91" s="6">
        <f aca="true" t="shared" si="4" ref="I91:I112">SUM(G91:H91)</f>
        <v>3566890</v>
      </c>
    </row>
    <row r="92" spans="1:9" ht="15">
      <c r="A92" s="17">
        <v>14</v>
      </c>
      <c r="B92" s="15">
        <v>2</v>
      </c>
      <c r="C92" s="13" t="s">
        <v>21</v>
      </c>
      <c r="D92" s="5">
        <v>3833045</v>
      </c>
      <c r="E92" s="5">
        <v>5695000</v>
      </c>
      <c r="F92" s="6">
        <f t="shared" si="3"/>
        <v>9528045</v>
      </c>
      <c r="G92" s="5">
        <v>3820545</v>
      </c>
      <c r="H92" s="5">
        <v>5675000</v>
      </c>
      <c r="I92" s="6">
        <f t="shared" si="4"/>
        <v>9495545</v>
      </c>
    </row>
    <row r="93" spans="1:9" ht="15">
      <c r="A93" s="17">
        <v>15</v>
      </c>
      <c r="B93" s="15">
        <v>3</v>
      </c>
      <c r="C93" s="13" t="s">
        <v>314</v>
      </c>
      <c r="D93" s="5">
        <v>2142750</v>
      </c>
      <c r="E93" s="5">
        <v>557000</v>
      </c>
      <c r="F93" s="6">
        <f t="shared" si="3"/>
        <v>2699750</v>
      </c>
      <c r="G93" s="5">
        <v>2043750</v>
      </c>
      <c r="H93" s="5">
        <v>547000</v>
      </c>
      <c r="I93" s="6">
        <f t="shared" si="4"/>
        <v>2590750</v>
      </c>
    </row>
    <row r="94" spans="1:9" ht="15">
      <c r="A94" s="17">
        <v>16</v>
      </c>
      <c r="B94" s="15">
        <v>4</v>
      </c>
      <c r="C94" s="13" t="s">
        <v>253</v>
      </c>
      <c r="D94" s="5">
        <v>680373</v>
      </c>
      <c r="E94" s="5">
        <v>723785</v>
      </c>
      <c r="F94" s="6">
        <f t="shared" si="3"/>
        <v>1404158</v>
      </c>
      <c r="G94" s="5">
        <v>680373</v>
      </c>
      <c r="H94" s="5">
        <v>713785</v>
      </c>
      <c r="I94" s="6">
        <f t="shared" si="4"/>
        <v>1394158</v>
      </c>
    </row>
    <row r="95" spans="1:9" ht="15">
      <c r="A95" s="17">
        <v>17</v>
      </c>
      <c r="B95" s="15">
        <v>5</v>
      </c>
      <c r="C95" s="13" t="s">
        <v>24</v>
      </c>
      <c r="D95" s="5">
        <v>2013100</v>
      </c>
      <c r="E95" s="5">
        <v>85000</v>
      </c>
      <c r="F95" s="6">
        <f t="shared" si="3"/>
        <v>2098100</v>
      </c>
      <c r="G95" s="5">
        <v>1889400</v>
      </c>
      <c r="H95" s="5">
        <v>85000</v>
      </c>
      <c r="I95" s="6">
        <f t="shared" si="4"/>
        <v>1974400</v>
      </c>
    </row>
    <row r="96" spans="1:9" ht="15">
      <c r="A96" s="17">
        <v>18</v>
      </c>
      <c r="B96" s="15">
        <v>6</v>
      </c>
      <c r="C96" s="13" t="s">
        <v>25</v>
      </c>
      <c r="D96" s="5">
        <v>2030000</v>
      </c>
      <c r="E96" s="5">
        <v>424000</v>
      </c>
      <c r="F96" s="6">
        <f t="shared" si="3"/>
        <v>2454000</v>
      </c>
      <c r="G96" s="5">
        <v>2030000</v>
      </c>
      <c r="H96" s="5">
        <v>424000</v>
      </c>
      <c r="I96" s="6">
        <f t="shared" si="4"/>
        <v>2454000</v>
      </c>
    </row>
    <row r="97" spans="1:9" ht="15">
      <c r="A97" s="17">
        <v>19</v>
      </c>
      <c r="B97" s="15">
        <v>7</v>
      </c>
      <c r="C97" s="95" t="s">
        <v>26</v>
      </c>
      <c r="D97" s="5">
        <v>3957100</v>
      </c>
      <c r="E97" s="5">
        <v>182600</v>
      </c>
      <c r="F97" s="6">
        <f t="shared" si="3"/>
        <v>4139700</v>
      </c>
      <c r="G97" s="5">
        <v>4095700</v>
      </c>
      <c r="H97" s="5">
        <v>182600</v>
      </c>
      <c r="I97" s="6">
        <f t="shared" si="4"/>
        <v>4278300</v>
      </c>
    </row>
    <row r="98" spans="1:9" ht="15">
      <c r="A98" s="17">
        <v>20</v>
      </c>
      <c r="B98" s="15">
        <v>8</v>
      </c>
      <c r="C98" s="95" t="s">
        <v>242</v>
      </c>
      <c r="D98" s="5">
        <v>2535100</v>
      </c>
      <c r="E98" s="5"/>
      <c r="F98" s="6">
        <f t="shared" si="3"/>
        <v>2535100</v>
      </c>
      <c r="G98" s="5">
        <v>2119700</v>
      </c>
      <c r="H98" s="5"/>
      <c r="I98" s="6">
        <f t="shared" si="4"/>
        <v>2119700</v>
      </c>
    </row>
    <row r="99" spans="1:9" ht="15">
      <c r="A99" s="17">
        <v>21</v>
      </c>
      <c r="B99" s="15">
        <v>9</v>
      </c>
      <c r="C99" s="95" t="s">
        <v>28</v>
      </c>
      <c r="D99" s="5">
        <v>860000</v>
      </c>
      <c r="E99" s="5"/>
      <c r="F99" s="6">
        <f t="shared" si="3"/>
        <v>860000</v>
      </c>
      <c r="G99" s="5">
        <v>1059000</v>
      </c>
      <c r="H99" s="5">
        <v>257000</v>
      </c>
      <c r="I99" s="6">
        <f t="shared" si="4"/>
        <v>1316000</v>
      </c>
    </row>
    <row r="100" spans="1:9" ht="15">
      <c r="A100" s="17">
        <v>22</v>
      </c>
      <c r="B100" s="15">
        <v>10</v>
      </c>
      <c r="C100" s="95" t="s">
        <v>203</v>
      </c>
      <c r="D100" s="5">
        <v>3019117</v>
      </c>
      <c r="E100" s="5">
        <v>1415000</v>
      </c>
      <c r="F100" s="6">
        <f t="shared" si="3"/>
        <v>4434117</v>
      </c>
      <c r="G100" s="5">
        <v>3023014</v>
      </c>
      <c r="H100" s="5">
        <v>1420000</v>
      </c>
      <c r="I100" s="6">
        <f t="shared" si="4"/>
        <v>4443014</v>
      </c>
    </row>
    <row r="101" spans="1:9" ht="15">
      <c r="A101" s="17">
        <v>23</v>
      </c>
      <c r="B101" s="15">
        <v>11</v>
      </c>
      <c r="C101" s="95" t="s">
        <v>244</v>
      </c>
      <c r="D101" s="5">
        <v>1378045</v>
      </c>
      <c r="E101" s="5">
        <v>389133</v>
      </c>
      <c r="F101" s="6">
        <f t="shared" si="3"/>
        <v>1767178</v>
      </c>
      <c r="G101" s="5">
        <v>1454045</v>
      </c>
      <c r="H101" s="5">
        <v>315133</v>
      </c>
      <c r="I101" s="6">
        <f t="shared" si="4"/>
        <v>1769178</v>
      </c>
    </row>
    <row r="102" spans="1:9" ht="15">
      <c r="A102" s="17">
        <v>24</v>
      </c>
      <c r="B102" s="15">
        <v>12</v>
      </c>
      <c r="C102" s="95" t="s">
        <v>31</v>
      </c>
      <c r="D102" s="5">
        <v>1372000</v>
      </c>
      <c r="E102" s="18">
        <v>300000</v>
      </c>
      <c r="F102" s="6">
        <f t="shared" si="3"/>
        <v>1672000</v>
      </c>
      <c r="G102" s="5">
        <v>1688500</v>
      </c>
      <c r="H102" s="18">
        <v>330000</v>
      </c>
      <c r="I102" s="6">
        <f t="shared" si="4"/>
        <v>2018500</v>
      </c>
    </row>
    <row r="103" spans="1:9" ht="15">
      <c r="A103" s="17">
        <v>25</v>
      </c>
      <c r="B103" s="15">
        <v>13</v>
      </c>
      <c r="C103" s="95" t="s">
        <v>32</v>
      </c>
      <c r="D103" s="5"/>
      <c r="E103" s="5"/>
      <c r="F103" s="6">
        <f t="shared" si="3"/>
        <v>0</v>
      </c>
      <c r="G103" s="5"/>
      <c r="H103" s="5"/>
      <c r="I103" s="6">
        <f t="shared" si="4"/>
        <v>0</v>
      </c>
    </row>
    <row r="104" spans="1:9" ht="15">
      <c r="A104" s="17">
        <v>26</v>
      </c>
      <c r="B104" s="15">
        <v>14</v>
      </c>
      <c r="C104" s="95" t="s">
        <v>423</v>
      </c>
      <c r="D104" s="5">
        <f>643878+721503</f>
        <v>1365381</v>
      </c>
      <c r="E104" s="5"/>
      <c r="F104" s="6">
        <f t="shared" si="3"/>
        <v>1365381</v>
      </c>
      <c r="G104" s="5">
        <v>619465</v>
      </c>
      <c r="H104" s="5"/>
      <c r="I104" s="6">
        <f t="shared" si="4"/>
        <v>619465</v>
      </c>
    </row>
    <row r="105" spans="1:9" ht="15">
      <c r="A105" s="17">
        <v>27</v>
      </c>
      <c r="B105" s="15">
        <v>15</v>
      </c>
      <c r="C105" s="95" t="s">
        <v>230</v>
      </c>
      <c r="D105" s="5">
        <v>971000</v>
      </c>
      <c r="E105" s="5">
        <v>1604600</v>
      </c>
      <c r="F105" s="6">
        <f t="shared" si="3"/>
        <v>2575600</v>
      </c>
      <c r="G105" s="5">
        <v>971000</v>
      </c>
      <c r="H105" s="5">
        <v>1535100</v>
      </c>
      <c r="I105" s="6">
        <f t="shared" si="4"/>
        <v>2506100</v>
      </c>
    </row>
    <row r="106" spans="1:9" ht="15">
      <c r="A106" s="17">
        <v>28</v>
      </c>
      <c r="B106" s="15">
        <v>16</v>
      </c>
      <c r="C106" s="95" t="s">
        <v>252</v>
      </c>
      <c r="D106" s="5">
        <v>1303418</v>
      </c>
      <c r="E106" s="5">
        <v>25000</v>
      </c>
      <c r="F106" s="6">
        <f t="shared" si="3"/>
        <v>1328418</v>
      </c>
      <c r="G106" s="5">
        <v>1303418</v>
      </c>
      <c r="H106" s="5">
        <v>25000</v>
      </c>
      <c r="I106" s="6">
        <f t="shared" si="4"/>
        <v>1328418</v>
      </c>
    </row>
    <row r="107" spans="1:9" ht="15">
      <c r="A107" s="17">
        <v>29</v>
      </c>
      <c r="B107" s="15">
        <v>17</v>
      </c>
      <c r="C107" s="95" t="s">
        <v>313</v>
      </c>
      <c r="D107" s="5"/>
      <c r="E107" s="5"/>
      <c r="F107" s="6">
        <f t="shared" si="3"/>
        <v>0</v>
      </c>
      <c r="G107" s="5">
        <f>425000*3</f>
        <v>1275000</v>
      </c>
      <c r="H107" s="5">
        <f>495000+505000+485000</f>
        <v>1485000</v>
      </c>
      <c r="I107" s="6">
        <f t="shared" si="4"/>
        <v>2760000</v>
      </c>
    </row>
    <row r="108" spans="1:9" ht="15">
      <c r="A108" s="17">
        <v>30</v>
      </c>
      <c r="B108" s="15">
        <v>18</v>
      </c>
      <c r="C108" s="96" t="s">
        <v>240</v>
      </c>
      <c r="D108" s="5">
        <v>3193650</v>
      </c>
      <c r="E108" s="5"/>
      <c r="F108" s="6">
        <f t="shared" si="3"/>
        <v>3193650</v>
      </c>
      <c r="G108" s="5">
        <v>3193650</v>
      </c>
      <c r="H108" s="5"/>
      <c r="I108" s="6">
        <f t="shared" si="4"/>
        <v>3193650</v>
      </c>
    </row>
    <row r="109" spans="1:9" ht="15">
      <c r="A109" s="17">
        <v>31</v>
      </c>
      <c r="B109" s="15">
        <v>19</v>
      </c>
      <c r="C109" s="96" t="s">
        <v>243</v>
      </c>
      <c r="D109" s="5">
        <v>489505</v>
      </c>
      <c r="E109" s="5">
        <v>767450</v>
      </c>
      <c r="F109" s="6">
        <f t="shared" si="3"/>
        <v>1256955</v>
      </c>
      <c r="G109" s="5">
        <v>489505</v>
      </c>
      <c r="H109" s="5">
        <v>767450</v>
      </c>
      <c r="I109" s="6">
        <f t="shared" si="4"/>
        <v>1256955</v>
      </c>
    </row>
    <row r="110" spans="1:9" ht="15">
      <c r="A110" s="17">
        <v>32</v>
      </c>
      <c r="B110" s="15">
        <v>20</v>
      </c>
      <c r="C110" s="96" t="s">
        <v>311</v>
      </c>
      <c r="D110" s="5">
        <v>774900</v>
      </c>
      <c r="E110" s="5">
        <v>113000</v>
      </c>
      <c r="F110" s="6">
        <f t="shared" si="3"/>
        <v>887900</v>
      </c>
      <c r="G110" s="5">
        <v>756208</v>
      </c>
      <c r="H110" s="5">
        <v>133000</v>
      </c>
      <c r="I110" s="6">
        <f t="shared" si="4"/>
        <v>889208</v>
      </c>
    </row>
    <row r="111" spans="1:9" ht="15">
      <c r="A111" s="17">
        <v>33</v>
      </c>
      <c r="B111" s="15">
        <v>21</v>
      </c>
      <c r="C111" s="96" t="s">
        <v>315</v>
      </c>
      <c r="D111" s="5">
        <v>634500</v>
      </c>
      <c r="E111" s="5"/>
      <c r="F111" s="6">
        <f t="shared" si="3"/>
        <v>634500</v>
      </c>
      <c r="G111" s="5">
        <v>743500</v>
      </c>
      <c r="H111" s="5"/>
      <c r="I111" s="6">
        <f t="shared" si="4"/>
        <v>743500</v>
      </c>
    </row>
    <row r="112" spans="1:9" ht="15">
      <c r="A112" s="224" t="s">
        <v>5</v>
      </c>
      <c r="B112" s="225"/>
      <c r="C112" s="225"/>
      <c r="D112" s="7">
        <f>SUM(D91:D111)</f>
        <v>34805534</v>
      </c>
      <c r="E112" s="7">
        <f>SUM(E91:E111)</f>
        <v>13587783</v>
      </c>
      <c r="F112" s="7">
        <f>SUM(D112:E112)</f>
        <v>48393317</v>
      </c>
      <c r="G112" s="7">
        <f>SUM(G91:G111)</f>
        <v>35527448</v>
      </c>
      <c r="H112" s="7">
        <f>SUM(H91:H111)</f>
        <v>15190283</v>
      </c>
      <c r="I112" s="7">
        <f t="shared" si="4"/>
        <v>50717731</v>
      </c>
    </row>
    <row r="113" spans="1:9" ht="15">
      <c r="A113" s="224" t="s">
        <v>47</v>
      </c>
      <c r="B113" s="225"/>
      <c r="C113" s="225"/>
      <c r="D113" s="225"/>
      <c r="E113" s="225"/>
      <c r="F113" s="225"/>
      <c r="G113" s="225"/>
      <c r="H113" s="225"/>
      <c r="I113" s="226"/>
    </row>
    <row r="114" spans="1:9" ht="15">
      <c r="A114" s="15">
        <v>34</v>
      </c>
      <c r="B114" s="15">
        <v>1</v>
      </c>
      <c r="C114" s="15" t="s">
        <v>48</v>
      </c>
      <c r="D114" s="5">
        <v>1000000</v>
      </c>
      <c r="E114" s="5">
        <v>200000</v>
      </c>
      <c r="F114" s="6">
        <f>SUM(D114:E114)</f>
        <v>1200000</v>
      </c>
      <c r="G114" s="5">
        <v>1000000</v>
      </c>
      <c r="H114" s="5">
        <v>200000</v>
      </c>
      <c r="I114" s="6">
        <f>SUM(G114:H114)</f>
        <v>1200000</v>
      </c>
    </row>
    <row r="115" spans="1:9" ht="15">
      <c r="A115" s="224" t="s">
        <v>42</v>
      </c>
      <c r="B115" s="225"/>
      <c r="C115" s="225"/>
      <c r="D115" s="7">
        <f>D114</f>
        <v>1000000</v>
      </c>
      <c r="E115" s="7">
        <f>E114</f>
        <v>200000</v>
      </c>
      <c r="F115" s="7">
        <f>SUM(D115:E115)</f>
        <v>1200000</v>
      </c>
      <c r="G115" s="7">
        <f>G114</f>
        <v>1000000</v>
      </c>
      <c r="H115" s="7">
        <f>H114</f>
        <v>200000</v>
      </c>
      <c r="I115" s="7">
        <f>SUM(G115:H115)</f>
        <v>1200000</v>
      </c>
    </row>
    <row r="116" spans="1:9" ht="15">
      <c r="A116" s="224" t="s">
        <v>49</v>
      </c>
      <c r="B116" s="225"/>
      <c r="C116" s="225"/>
      <c r="D116" s="225"/>
      <c r="E116" s="225"/>
      <c r="F116" s="225"/>
      <c r="G116" s="225"/>
      <c r="H116" s="225"/>
      <c r="I116" s="226"/>
    </row>
    <row r="117" spans="1:9" ht="15">
      <c r="A117" s="15">
        <v>35</v>
      </c>
      <c r="B117" s="15">
        <v>1</v>
      </c>
      <c r="C117" s="19" t="s">
        <v>50</v>
      </c>
      <c r="D117" s="5">
        <v>1804200</v>
      </c>
      <c r="E117" s="5">
        <v>509200</v>
      </c>
      <c r="F117" s="6">
        <f>SUM(D117:E117)</f>
        <v>2313400</v>
      </c>
      <c r="G117" s="5">
        <v>1720992</v>
      </c>
      <c r="H117" s="5">
        <v>509200</v>
      </c>
      <c r="I117" s="6">
        <f>SUM(G117:H117)</f>
        <v>2230192</v>
      </c>
    </row>
    <row r="118" spans="1:9" ht="15">
      <c r="A118" s="224" t="s">
        <v>42</v>
      </c>
      <c r="B118" s="225"/>
      <c r="C118" s="225"/>
      <c r="D118" s="7">
        <f>D117</f>
        <v>1804200</v>
      </c>
      <c r="E118" s="7">
        <f>E117</f>
        <v>509200</v>
      </c>
      <c r="F118" s="7">
        <f>SUM(D118:E118)</f>
        <v>2313400</v>
      </c>
      <c r="G118" s="7">
        <f>G117</f>
        <v>1720992</v>
      </c>
      <c r="H118" s="7">
        <f>H117</f>
        <v>509200</v>
      </c>
      <c r="I118" s="7">
        <f>SUM(G118:H118)</f>
        <v>2230192</v>
      </c>
    </row>
    <row r="119" spans="1:9" ht="15">
      <c r="A119" s="224" t="s">
        <v>51</v>
      </c>
      <c r="B119" s="225"/>
      <c r="C119" s="225"/>
      <c r="D119" s="225"/>
      <c r="E119" s="225"/>
      <c r="F119" s="225"/>
      <c r="G119" s="225"/>
      <c r="H119" s="225"/>
      <c r="I119" s="226"/>
    </row>
    <row r="120" spans="1:9" ht="15">
      <c r="A120" s="15">
        <v>36</v>
      </c>
      <c r="B120" s="15">
        <v>1</v>
      </c>
      <c r="C120" s="19" t="s">
        <v>52</v>
      </c>
      <c r="D120" s="5">
        <v>1617000</v>
      </c>
      <c r="E120" s="5">
        <v>649500</v>
      </c>
      <c r="F120" s="6">
        <f>SUM(D120:E120)</f>
        <v>2266500</v>
      </c>
      <c r="G120" s="5">
        <v>1553000</v>
      </c>
      <c r="H120" s="5">
        <v>649500</v>
      </c>
      <c r="I120" s="6">
        <f>SUM(G120:H120)</f>
        <v>2202500</v>
      </c>
    </row>
    <row r="121" spans="1:9" ht="15">
      <c r="A121" s="15">
        <v>37</v>
      </c>
      <c r="B121" s="15">
        <v>2</v>
      </c>
      <c r="C121" s="19" t="s">
        <v>53</v>
      </c>
      <c r="D121" s="5"/>
      <c r="E121" s="5"/>
      <c r="F121" s="6">
        <f aca="true" t="shared" si="5" ref="F121:F139">SUM(D121:E121)</f>
        <v>0</v>
      </c>
      <c r="G121" s="5">
        <v>244000</v>
      </c>
      <c r="H121" s="5">
        <v>540000</v>
      </c>
      <c r="I121" s="6">
        <f aca="true" t="shared" si="6" ref="I121:I129">SUM(G121:H121)</f>
        <v>784000</v>
      </c>
    </row>
    <row r="122" spans="1:9" ht="15">
      <c r="A122" s="15">
        <v>38</v>
      </c>
      <c r="B122" s="15">
        <v>3</v>
      </c>
      <c r="C122" s="20" t="s">
        <v>54</v>
      </c>
      <c r="D122" s="5"/>
      <c r="E122" s="5"/>
      <c r="F122" s="6">
        <f t="shared" si="5"/>
        <v>0</v>
      </c>
      <c r="G122" s="5"/>
      <c r="H122" s="5"/>
      <c r="I122" s="6">
        <f t="shared" si="6"/>
        <v>0</v>
      </c>
    </row>
    <row r="123" spans="1:9" ht="15">
      <c r="A123" s="15">
        <v>39</v>
      </c>
      <c r="B123" s="21">
        <v>4</v>
      </c>
      <c r="C123" s="20" t="s">
        <v>55</v>
      </c>
      <c r="D123" s="5"/>
      <c r="E123" s="5">
        <f>706000+264000</f>
        <v>970000</v>
      </c>
      <c r="F123" s="6">
        <f t="shared" si="5"/>
        <v>970000</v>
      </c>
      <c r="G123" s="5"/>
      <c r="H123" s="5"/>
      <c r="I123" s="6">
        <f t="shared" si="6"/>
        <v>0</v>
      </c>
    </row>
    <row r="124" spans="1:9" ht="15">
      <c r="A124" s="15">
        <v>40</v>
      </c>
      <c r="B124" s="15">
        <v>5</v>
      </c>
      <c r="C124" s="20" t="s">
        <v>56</v>
      </c>
      <c r="D124" s="5">
        <v>505700</v>
      </c>
      <c r="E124" s="5">
        <v>137000</v>
      </c>
      <c r="F124" s="6">
        <f t="shared" si="5"/>
        <v>642700</v>
      </c>
      <c r="G124" s="5">
        <v>505700</v>
      </c>
      <c r="H124" s="5">
        <v>137000</v>
      </c>
      <c r="I124" s="6">
        <f t="shared" si="6"/>
        <v>642700</v>
      </c>
    </row>
    <row r="125" spans="1:9" ht="15">
      <c r="A125" s="15">
        <v>41</v>
      </c>
      <c r="B125" s="15">
        <v>6</v>
      </c>
      <c r="C125" s="20" t="s">
        <v>57</v>
      </c>
      <c r="D125" s="5">
        <v>1390940</v>
      </c>
      <c r="E125" s="5">
        <v>100000</v>
      </c>
      <c r="F125" s="6">
        <f t="shared" si="5"/>
        <v>1490940</v>
      </c>
      <c r="G125" s="5"/>
      <c r="H125" s="5"/>
      <c r="I125" s="6">
        <f t="shared" si="6"/>
        <v>0</v>
      </c>
    </row>
    <row r="126" spans="1:9" ht="15">
      <c r="A126" s="15">
        <v>42</v>
      </c>
      <c r="B126" s="15">
        <v>7</v>
      </c>
      <c r="C126" s="20" t="s">
        <v>58</v>
      </c>
      <c r="D126" s="5">
        <v>516000</v>
      </c>
      <c r="E126" s="5">
        <v>120000</v>
      </c>
      <c r="F126" s="6">
        <f t="shared" si="5"/>
        <v>636000</v>
      </c>
      <c r="G126" s="5">
        <v>516000</v>
      </c>
      <c r="H126" s="5">
        <v>130000</v>
      </c>
      <c r="I126" s="6">
        <f t="shared" si="6"/>
        <v>646000</v>
      </c>
    </row>
    <row r="127" spans="1:9" ht="15">
      <c r="A127" s="15">
        <v>43</v>
      </c>
      <c r="B127" s="15">
        <v>8</v>
      </c>
      <c r="C127" s="19" t="s">
        <v>59</v>
      </c>
      <c r="D127" s="5">
        <v>760000</v>
      </c>
      <c r="E127" s="5">
        <v>100000</v>
      </c>
      <c r="F127" s="6">
        <f t="shared" si="5"/>
        <v>860000</v>
      </c>
      <c r="G127" s="5">
        <v>600000</v>
      </c>
      <c r="H127" s="5">
        <v>150000</v>
      </c>
      <c r="I127" s="6">
        <f t="shared" si="6"/>
        <v>750000</v>
      </c>
    </row>
    <row r="128" spans="1:9" ht="15">
      <c r="A128" s="15">
        <v>44</v>
      </c>
      <c r="B128" s="15">
        <v>9</v>
      </c>
      <c r="C128" s="19" t="s">
        <v>60</v>
      </c>
      <c r="D128" s="5">
        <v>397500</v>
      </c>
      <c r="E128" s="5">
        <v>230000</v>
      </c>
      <c r="F128" s="6">
        <f t="shared" si="5"/>
        <v>627500</v>
      </c>
      <c r="G128" s="5">
        <v>397500</v>
      </c>
      <c r="H128" s="5">
        <v>230000</v>
      </c>
      <c r="I128" s="6">
        <f t="shared" si="6"/>
        <v>627500</v>
      </c>
    </row>
    <row r="129" spans="1:9" ht="15">
      <c r="A129" s="15">
        <v>45</v>
      </c>
      <c r="B129" s="15">
        <v>10</v>
      </c>
      <c r="C129" s="19" t="s">
        <v>61</v>
      </c>
      <c r="D129" s="5">
        <v>260400</v>
      </c>
      <c r="E129" s="5">
        <v>120000</v>
      </c>
      <c r="F129" s="6">
        <f t="shared" si="5"/>
        <v>380400</v>
      </c>
      <c r="G129" s="5">
        <v>260400</v>
      </c>
      <c r="H129" s="5">
        <v>100000</v>
      </c>
      <c r="I129" s="6">
        <f t="shared" si="6"/>
        <v>360400</v>
      </c>
    </row>
    <row r="130" spans="1:9" ht="15">
      <c r="A130" s="15">
        <v>46</v>
      </c>
      <c r="B130" s="15">
        <v>11</v>
      </c>
      <c r="C130" s="19" t="s">
        <v>62</v>
      </c>
      <c r="D130" s="5"/>
      <c r="E130" s="108"/>
      <c r="F130" s="6">
        <f>SUM(D130:E130)</f>
        <v>0</v>
      </c>
      <c r="G130" s="5"/>
      <c r="H130" s="108"/>
      <c r="I130" s="6">
        <f>SUM(G130:H130)</f>
        <v>0</v>
      </c>
    </row>
    <row r="131" spans="1:9" ht="15">
      <c r="A131" s="15">
        <v>47</v>
      </c>
      <c r="B131" s="15">
        <v>12</v>
      </c>
      <c r="C131" s="19" t="s">
        <v>63</v>
      </c>
      <c r="D131" s="5"/>
      <c r="E131" s="5"/>
      <c r="F131" s="6">
        <f t="shared" si="5"/>
        <v>0</v>
      </c>
      <c r="G131" s="5"/>
      <c r="H131" s="5"/>
      <c r="I131" s="6">
        <f>SUM(G131:H131)</f>
        <v>0</v>
      </c>
    </row>
    <row r="132" spans="1:9" ht="15">
      <c r="A132" s="15">
        <v>48</v>
      </c>
      <c r="B132" s="15">
        <v>13</v>
      </c>
      <c r="C132" s="19" t="s">
        <v>64</v>
      </c>
      <c r="D132" s="5"/>
      <c r="E132" s="5"/>
      <c r="F132" s="6">
        <f t="shared" si="5"/>
        <v>0</v>
      </c>
      <c r="G132" s="5"/>
      <c r="H132" s="5"/>
      <c r="I132" s="6">
        <f>SUM(G132:H132)</f>
        <v>0</v>
      </c>
    </row>
    <row r="133" spans="1:9" ht="15">
      <c r="A133" s="15">
        <v>49</v>
      </c>
      <c r="B133" s="15">
        <v>14</v>
      </c>
      <c r="C133" s="19" t="s">
        <v>65</v>
      </c>
      <c r="D133" s="5">
        <v>127000</v>
      </c>
      <c r="E133" s="5">
        <v>125000</v>
      </c>
      <c r="F133" s="6">
        <f>SUM(D133:E133)</f>
        <v>252000</v>
      </c>
      <c r="G133" s="5"/>
      <c r="H133" s="5"/>
      <c r="I133" s="6">
        <f>SUM(G133:H133)</f>
        <v>0</v>
      </c>
    </row>
    <row r="134" spans="1:9" ht="15">
      <c r="A134" s="15">
        <v>50</v>
      </c>
      <c r="B134" s="15">
        <v>15</v>
      </c>
      <c r="C134" s="78" t="s">
        <v>66</v>
      </c>
      <c r="D134" s="5"/>
      <c r="E134" s="5"/>
      <c r="F134" s="6">
        <f t="shared" si="5"/>
        <v>0</v>
      </c>
      <c r="G134" s="5"/>
      <c r="H134" s="5"/>
      <c r="I134" s="6">
        <f aca="true" t="shared" si="7" ref="I134:I139">SUM(G134:H134)</f>
        <v>0</v>
      </c>
    </row>
    <row r="135" spans="1:9" ht="15">
      <c r="A135" s="15">
        <v>51</v>
      </c>
      <c r="B135" s="15">
        <v>16</v>
      </c>
      <c r="C135" s="19" t="s">
        <v>67</v>
      </c>
      <c r="D135" s="5">
        <v>972000</v>
      </c>
      <c r="E135" s="5"/>
      <c r="F135" s="6">
        <f t="shared" si="5"/>
        <v>972000</v>
      </c>
      <c r="G135" s="5">
        <v>932000</v>
      </c>
      <c r="H135" s="5"/>
      <c r="I135" s="6">
        <f t="shared" si="7"/>
        <v>932000</v>
      </c>
    </row>
    <row r="136" spans="1:9" ht="15">
      <c r="A136" s="15">
        <v>52</v>
      </c>
      <c r="B136" s="15">
        <v>17</v>
      </c>
      <c r="C136" s="19" t="s">
        <v>68</v>
      </c>
      <c r="D136" s="5"/>
      <c r="E136" s="5">
        <v>1134000</v>
      </c>
      <c r="F136" s="6">
        <f t="shared" si="5"/>
        <v>1134000</v>
      </c>
      <c r="G136" s="5"/>
      <c r="H136" s="5"/>
      <c r="I136" s="6">
        <f t="shared" si="7"/>
        <v>0</v>
      </c>
    </row>
    <row r="137" spans="1:9" ht="15">
      <c r="A137" s="15">
        <v>53</v>
      </c>
      <c r="B137" s="15">
        <v>18</v>
      </c>
      <c r="C137" s="19" t="s">
        <v>69</v>
      </c>
      <c r="D137" s="5"/>
      <c r="E137" s="5"/>
      <c r="F137" s="6">
        <f t="shared" si="5"/>
        <v>0</v>
      </c>
      <c r="G137" s="5">
        <v>604304</v>
      </c>
      <c r="H137" s="5">
        <v>160000</v>
      </c>
      <c r="I137" s="6">
        <f t="shared" si="7"/>
        <v>764304</v>
      </c>
    </row>
    <row r="138" spans="1:9" ht="15">
      <c r="A138" s="15">
        <v>54</v>
      </c>
      <c r="B138" s="15">
        <v>19</v>
      </c>
      <c r="C138" s="19" t="s">
        <v>70</v>
      </c>
      <c r="D138" s="5"/>
      <c r="E138" s="5"/>
      <c r="F138" s="6">
        <f t="shared" si="5"/>
        <v>0</v>
      </c>
      <c r="G138" s="5"/>
      <c r="H138" s="5"/>
      <c r="I138" s="6">
        <f t="shared" si="7"/>
        <v>0</v>
      </c>
    </row>
    <row r="139" spans="1:9" ht="15">
      <c r="A139" s="15">
        <v>55</v>
      </c>
      <c r="B139" s="15">
        <v>20</v>
      </c>
      <c r="C139" s="19" t="s">
        <v>71</v>
      </c>
      <c r="D139" s="5">
        <v>530956</v>
      </c>
      <c r="E139" s="5">
        <v>296510</v>
      </c>
      <c r="F139" s="6">
        <f t="shared" si="5"/>
        <v>827466</v>
      </c>
      <c r="G139" s="5">
        <v>391132</v>
      </c>
      <c r="H139" s="5">
        <v>295000</v>
      </c>
      <c r="I139" s="6">
        <f t="shared" si="7"/>
        <v>686132</v>
      </c>
    </row>
    <row r="140" spans="1:13" ht="15">
      <c r="A140" s="224" t="s">
        <v>5</v>
      </c>
      <c r="B140" s="225"/>
      <c r="C140" s="225"/>
      <c r="D140" s="7">
        <f>SUM(D120:D139)</f>
        <v>7077496</v>
      </c>
      <c r="E140" s="7">
        <f>SUM(E120:E139)</f>
        <v>3982010</v>
      </c>
      <c r="F140" s="7">
        <f>SUM(D140:E140)</f>
        <v>11059506</v>
      </c>
      <c r="G140" s="7">
        <f>SUM(G120:G139)</f>
        <v>6004036</v>
      </c>
      <c r="H140" s="7">
        <f>SUM(H120:H139)</f>
        <v>2391500</v>
      </c>
      <c r="I140" s="7">
        <f>SUM(G140:H140)</f>
        <v>8395536</v>
      </c>
      <c r="M140" t="s">
        <v>348</v>
      </c>
    </row>
    <row r="141" spans="1:9" ht="15">
      <c r="A141" s="234" t="s">
        <v>72</v>
      </c>
      <c r="B141" s="235"/>
      <c r="C141" s="235"/>
      <c r="D141" s="235"/>
      <c r="E141" s="235"/>
      <c r="F141" s="235"/>
      <c r="G141" s="235"/>
      <c r="H141" s="235"/>
      <c r="I141" s="236"/>
    </row>
    <row r="142" spans="1:9" ht="15">
      <c r="A142" s="15">
        <v>56</v>
      </c>
      <c r="B142" s="15">
        <v>1</v>
      </c>
      <c r="C142" s="20" t="s">
        <v>73</v>
      </c>
      <c r="D142" s="5">
        <v>1357440</v>
      </c>
      <c r="E142" s="5">
        <v>842800</v>
      </c>
      <c r="F142" s="6">
        <f>SUM(D142:E142)</f>
        <v>2200240</v>
      </c>
      <c r="G142" s="5">
        <v>1350440</v>
      </c>
      <c r="H142" s="5">
        <v>842800</v>
      </c>
      <c r="I142" s="6">
        <f>SUM(G142:H142)</f>
        <v>2193240</v>
      </c>
    </row>
    <row r="143" spans="1:9" ht="15">
      <c r="A143" s="15">
        <v>57</v>
      </c>
      <c r="B143" s="15">
        <v>2</v>
      </c>
      <c r="C143" s="20" t="s">
        <v>74</v>
      </c>
      <c r="D143" s="5">
        <v>342000</v>
      </c>
      <c r="E143" s="5">
        <v>229000</v>
      </c>
      <c r="F143" s="6">
        <f>SUM(D143:E143)</f>
        <v>571000</v>
      </c>
      <c r="G143" s="5">
        <v>344500</v>
      </c>
      <c r="H143" s="5">
        <v>159000</v>
      </c>
      <c r="I143" s="6">
        <f>SUM(G143:H143)</f>
        <v>503500</v>
      </c>
    </row>
    <row r="144" spans="1:9" ht="15">
      <c r="A144" s="15">
        <v>58</v>
      </c>
      <c r="B144" s="15">
        <v>3</v>
      </c>
      <c r="C144" s="20" t="s">
        <v>75</v>
      </c>
      <c r="D144" s="5"/>
      <c r="E144" s="5"/>
      <c r="F144" s="6">
        <f aca="true" t="shared" si="8" ref="F144:F161">SUM(D144:E144)</f>
        <v>0</v>
      </c>
      <c r="G144" s="5">
        <f>1134200+1000700</f>
        <v>2134900</v>
      </c>
      <c r="H144" s="5">
        <f>1247500*2+1041500</f>
        <v>3536500</v>
      </c>
      <c r="I144" s="6">
        <f aca="true" t="shared" si="9" ref="I144:I161">SUM(G144:H144)</f>
        <v>5671400</v>
      </c>
    </row>
    <row r="145" spans="1:9" ht="15">
      <c r="A145" s="15">
        <v>59</v>
      </c>
      <c r="B145" s="15">
        <v>4</v>
      </c>
      <c r="C145" s="20" t="s">
        <v>76</v>
      </c>
      <c r="D145" s="5"/>
      <c r="E145" s="5">
        <v>300000</v>
      </c>
      <c r="F145" s="6">
        <f t="shared" si="8"/>
        <v>300000</v>
      </c>
      <c r="G145" s="5"/>
      <c r="H145" s="5">
        <v>300000</v>
      </c>
      <c r="I145" s="6">
        <f t="shared" si="9"/>
        <v>300000</v>
      </c>
    </row>
    <row r="146" spans="1:9" ht="15">
      <c r="A146" s="15">
        <v>60</v>
      </c>
      <c r="B146" s="15">
        <v>5</v>
      </c>
      <c r="C146" s="22" t="s">
        <v>77</v>
      </c>
      <c r="D146" s="5"/>
      <c r="E146" s="5"/>
      <c r="F146" s="6">
        <f t="shared" si="8"/>
        <v>0</v>
      </c>
      <c r="G146" s="5"/>
      <c r="H146" s="5"/>
      <c r="I146" s="6">
        <f t="shared" si="9"/>
        <v>0</v>
      </c>
    </row>
    <row r="147" spans="1:9" ht="15">
      <c r="A147" s="15">
        <v>61</v>
      </c>
      <c r="B147" s="15">
        <v>6</v>
      </c>
      <c r="C147" s="20" t="s">
        <v>78</v>
      </c>
      <c r="D147" s="5">
        <v>1044000</v>
      </c>
      <c r="E147" s="5">
        <v>1279500</v>
      </c>
      <c r="F147" s="6">
        <f t="shared" si="8"/>
        <v>2323500</v>
      </c>
      <c r="G147" s="5">
        <v>1044000</v>
      </c>
      <c r="H147" s="5">
        <v>1264500</v>
      </c>
      <c r="I147" s="6">
        <f t="shared" si="9"/>
        <v>2308500</v>
      </c>
    </row>
    <row r="148" spans="1:9" ht="15">
      <c r="A148" s="15">
        <v>62</v>
      </c>
      <c r="B148" s="15">
        <v>7</v>
      </c>
      <c r="C148" s="20" t="s">
        <v>79</v>
      </c>
      <c r="D148" s="5">
        <v>304000</v>
      </c>
      <c r="E148" s="5">
        <v>450000</v>
      </c>
      <c r="F148" s="6">
        <f t="shared" si="8"/>
        <v>754000</v>
      </c>
      <c r="G148" s="5">
        <v>304000</v>
      </c>
      <c r="H148" s="5">
        <v>430000</v>
      </c>
      <c r="I148" s="6">
        <f t="shared" si="9"/>
        <v>734000</v>
      </c>
    </row>
    <row r="149" spans="1:9" ht="15">
      <c r="A149" s="15">
        <v>63</v>
      </c>
      <c r="B149" s="15">
        <v>8</v>
      </c>
      <c r="C149" s="20" t="s">
        <v>80</v>
      </c>
      <c r="D149" s="5">
        <v>994000</v>
      </c>
      <c r="E149" s="5">
        <v>480700</v>
      </c>
      <c r="F149" s="6">
        <f t="shared" si="8"/>
        <v>1474700</v>
      </c>
      <c r="G149" s="5">
        <v>994000</v>
      </c>
      <c r="H149" s="5">
        <v>480700</v>
      </c>
      <c r="I149" s="6">
        <f t="shared" si="9"/>
        <v>1474700</v>
      </c>
    </row>
    <row r="150" spans="1:9" ht="15">
      <c r="A150" s="15">
        <v>64</v>
      </c>
      <c r="B150" s="15">
        <v>9</v>
      </c>
      <c r="C150" s="20" t="s">
        <v>81</v>
      </c>
      <c r="D150" s="5">
        <v>320000</v>
      </c>
      <c r="E150" s="5">
        <v>477000</v>
      </c>
      <c r="F150" s="6">
        <f t="shared" si="8"/>
        <v>797000</v>
      </c>
      <c r="G150" s="5">
        <v>318000</v>
      </c>
      <c r="H150" s="5">
        <v>472000</v>
      </c>
      <c r="I150" s="6">
        <f t="shared" si="9"/>
        <v>790000</v>
      </c>
    </row>
    <row r="151" spans="1:9" ht="15">
      <c r="A151" s="15">
        <v>65</v>
      </c>
      <c r="B151" s="15">
        <v>10</v>
      </c>
      <c r="C151" s="20" t="s">
        <v>82</v>
      </c>
      <c r="D151" s="5">
        <v>357100</v>
      </c>
      <c r="E151" s="5">
        <v>72000</v>
      </c>
      <c r="F151" s="6">
        <f t="shared" si="8"/>
        <v>429100</v>
      </c>
      <c r="G151" s="5">
        <v>357100</v>
      </c>
      <c r="H151" s="5">
        <v>72000</v>
      </c>
      <c r="I151" s="6">
        <f t="shared" si="9"/>
        <v>429100</v>
      </c>
    </row>
    <row r="152" spans="1:9" ht="15">
      <c r="A152" s="15">
        <v>66</v>
      </c>
      <c r="B152" s="15">
        <v>11</v>
      </c>
      <c r="C152" s="20" t="s">
        <v>83</v>
      </c>
      <c r="D152" s="5"/>
      <c r="E152" s="5">
        <f>1200000+200000</f>
        <v>1400000</v>
      </c>
      <c r="F152" s="6">
        <f t="shared" si="8"/>
        <v>1400000</v>
      </c>
      <c r="G152" s="5"/>
      <c r="H152" s="5">
        <v>665000</v>
      </c>
      <c r="I152" s="6">
        <f t="shared" si="9"/>
        <v>665000</v>
      </c>
    </row>
    <row r="153" spans="1:9" ht="15">
      <c r="A153" s="15">
        <v>67</v>
      </c>
      <c r="B153" s="15">
        <v>12</v>
      </c>
      <c r="C153" s="20" t="s">
        <v>84</v>
      </c>
      <c r="D153" s="5">
        <v>201700</v>
      </c>
      <c r="E153" s="5">
        <v>803000</v>
      </c>
      <c r="F153" s="6">
        <f t="shared" si="8"/>
        <v>1004700</v>
      </c>
      <c r="G153" s="5"/>
      <c r="H153" s="5"/>
      <c r="I153" s="6">
        <f t="shared" si="9"/>
        <v>0</v>
      </c>
    </row>
    <row r="154" spans="1:9" ht="15">
      <c r="A154" s="15">
        <v>68</v>
      </c>
      <c r="B154" s="15">
        <v>13</v>
      </c>
      <c r="C154" s="20" t="s">
        <v>85</v>
      </c>
      <c r="D154" s="18"/>
      <c r="E154" s="18">
        <v>500000</v>
      </c>
      <c r="F154" s="6">
        <f t="shared" si="8"/>
        <v>500000</v>
      </c>
      <c r="G154" s="18"/>
      <c r="H154" s="18">
        <v>500000</v>
      </c>
      <c r="I154" s="6">
        <f t="shared" si="9"/>
        <v>500000</v>
      </c>
    </row>
    <row r="155" spans="1:9" ht="15">
      <c r="A155" s="15">
        <v>69</v>
      </c>
      <c r="B155" s="15">
        <v>14</v>
      </c>
      <c r="C155" s="22" t="s">
        <v>86</v>
      </c>
      <c r="D155" s="5"/>
      <c r="E155" s="5"/>
      <c r="F155" s="6">
        <f t="shared" si="8"/>
        <v>0</v>
      </c>
      <c r="G155" s="5"/>
      <c r="H155" s="5"/>
      <c r="I155" s="6">
        <f t="shared" si="9"/>
        <v>0</v>
      </c>
    </row>
    <row r="156" spans="1:9" ht="15">
      <c r="A156" s="15">
        <v>70</v>
      </c>
      <c r="B156" s="15">
        <v>15</v>
      </c>
      <c r="C156" s="20" t="s">
        <v>87</v>
      </c>
      <c r="D156" s="5"/>
      <c r="E156" s="5"/>
      <c r="F156" s="6">
        <f t="shared" si="8"/>
        <v>0</v>
      </c>
      <c r="G156" s="5"/>
      <c r="H156" s="5">
        <v>966000</v>
      </c>
      <c r="I156" s="6">
        <f t="shared" si="9"/>
        <v>966000</v>
      </c>
    </row>
    <row r="157" spans="1:9" ht="15">
      <c r="A157" s="15">
        <v>71</v>
      </c>
      <c r="B157" s="15">
        <v>16</v>
      </c>
      <c r="C157" s="20" t="s">
        <v>88</v>
      </c>
      <c r="D157" s="5"/>
      <c r="E157" s="5"/>
      <c r="F157" s="6">
        <f t="shared" si="8"/>
        <v>0</v>
      </c>
      <c r="G157" s="5"/>
      <c r="H157" s="5"/>
      <c r="I157" s="6">
        <f t="shared" si="9"/>
        <v>0</v>
      </c>
    </row>
    <row r="158" spans="1:9" ht="15">
      <c r="A158" s="15">
        <v>72</v>
      </c>
      <c r="B158" s="15">
        <v>17</v>
      </c>
      <c r="C158" s="20" t="s">
        <v>89</v>
      </c>
      <c r="D158" s="5"/>
      <c r="E158" s="5">
        <v>723000</v>
      </c>
      <c r="F158" s="6">
        <f t="shared" si="8"/>
        <v>723000</v>
      </c>
      <c r="G158" s="5"/>
      <c r="H158" s="5"/>
      <c r="I158" s="6">
        <f t="shared" si="9"/>
        <v>0</v>
      </c>
    </row>
    <row r="159" spans="1:9" ht="15">
      <c r="A159" s="15">
        <v>73</v>
      </c>
      <c r="B159" s="15">
        <v>18</v>
      </c>
      <c r="C159" s="19" t="s">
        <v>90</v>
      </c>
      <c r="D159" s="5"/>
      <c r="E159" s="5"/>
      <c r="F159" s="6">
        <f t="shared" si="8"/>
        <v>0</v>
      </c>
      <c r="G159" s="5"/>
      <c r="H159" s="5">
        <v>4148936</v>
      </c>
      <c r="I159" s="6">
        <f t="shared" si="9"/>
        <v>4148936</v>
      </c>
    </row>
    <row r="160" spans="1:9" ht="15">
      <c r="A160" s="15">
        <v>74</v>
      </c>
      <c r="B160" s="15">
        <v>19</v>
      </c>
      <c r="C160" s="19" t="s">
        <v>91</v>
      </c>
      <c r="D160" s="5">
        <v>864000</v>
      </c>
      <c r="E160" s="5">
        <v>125000</v>
      </c>
      <c r="F160" s="6">
        <f t="shared" si="8"/>
        <v>989000</v>
      </c>
      <c r="G160" s="5">
        <v>850800</v>
      </c>
      <c r="H160" s="5">
        <v>125000</v>
      </c>
      <c r="I160" s="6">
        <f t="shared" si="9"/>
        <v>975800</v>
      </c>
    </row>
    <row r="161" spans="1:9" ht="15">
      <c r="A161" s="15">
        <v>75</v>
      </c>
      <c r="B161" s="15">
        <v>20</v>
      </c>
      <c r="C161" s="19" t="s">
        <v>92</v>
      </c>
      <c r="D161" s="5">
        <v>341500</v>
      </c>
      <c r="E161" s="5">
        <v>590700</v>
      </c>
      <c r="F161" s="6">
        <f t="shared" si="8"/>
        <v>932200</v>
      </c>
      <c r="G161" s="5">
        <v>309000</v>
      </c>
      <c r="H161" s="5">
        <v>624000</v>
      </c>
      <c r="I161" s="6">
        <f t="shared" si="9"/>
        <v>933000</v>
      </c>
    </row>
    <row r="162" spans="1:9" ht="15">
      <c r="A162" s="224" t="s">
        <v>5</v>
      </c>
      <c r="B162" s="225"/>
      <c r="C162" s="225"/>
      <c r="D162" s="7">
        <f>SUM(D142:D161)</f>
        <v>6125740</v>
      </c>
      <c r="E162" s="7">
        <f>SUM(E142:E161)</f>
        <v>8272700</v>
      </c>
      <c r="F162" s="7">
        <f>SUM(D162:E162)</f>
        <v>14398440</v>
      </c>
      <c r="G162" s="7">
        <f>SUM(G142:G161)</f>
        <v>8006740</v>
      </c>
      <c r="H162" s="7">
        <f>SUM(H142:H161)</f>
        <v>14586436</v>
      </c>
      <c r="I162" s="7">
        <f>SUM(G162:H162)</f>
        <v>22593176</v>
      </c>
    </row>
    <row r="163" spans="1:9" ht="15">
      <c r="A163" s="224" t="s">
        <v>93</v>
      </c>
      <c r="B163" s="225"/>
      <c r="C163" s="225"/>
      <c r="D163" s="225"/>
      <c r="E163" s="225"/>
      <c r="F163" s="225"/>
      <c r="G163" s="225"/>
      <c r="H163" s="225"/>
      <c r="I163" s="226"/>
    </row>
    <row r="164" spans="1:9" ht="15">
      <c r="A164" s="15">
        <v>76</v>
      </c>
      <c r="B164" s="15">
        <v>1</v>
      </c>
      <c r="C164" s="19" t="s">
        <v>94</v>
      </c>
      <c r="D164" s="5">
        <v>1383593</v>
      </c>
      <c r="E164" s="5">
        <v>102500</v>
      </c>
      <c r="F164" s="6">
        <f>SUM(D164:E164)</f>
        <v>1486093</v>
      </c>
      <c r="G164" s="5">
        <v>893543</v>
      </c>
      <c r="H164" s="5">
        <v>94500</v>
      </c>
      <c r="I164" s="6">
        <f>SUM(G164:H164)</f>
        <v>988043</v>
      </c>
    </row>
    <row r="165" spans="1:9" ht="15">
      <c r="A165" s="15">
        <v>77</v>
      </c>
      <c r="B165" s="15">
        <v>2</v>
      </c>
      <c r="C165" s="19" t="s">
        <v>95</v>
      </c>
      <c r="D165" s="5"/>
      <c r="E165" s="5">
        <v>25000</v>
      </c>
      <c r="F165" s="6">
        <f aca="true" t="shared" si="10" ref="F165:F186">SUM(D165:E165)</f>
        <v>25000</v>
      </c>
      <c r="G165" s="5"/>
      <c r="H165" s="5">
        <v>25000</v>
      </c>
      <c r="I165" s="6">
        <f aca="true" t="shared" si="11" ref="I165:I183">SUM(G165:H165)</f>
        <v>25000</v>
      </c>
    </row>
    <row r="166" spans="1:9" ht="15">
      <c r="A166" s="15">
        <v>78</v>
      </c>
      <c r="B166" s="15">
        <v>3</v>
      </c>
      <c r="C166" s="19" t="s">
        <v>96</v>
      </c>
      <c r="D166" s="5"/>
      <c r="E166" s="5">
        <f>255000+40000+75000</f>
        <v>370000</v>
      </c>
      <c r="F166" s="6">
        <f t="shared" si="10"/>
        <v>370000</v>
      </c>
      <c r="G166" s="5"/>
      <c r="H166" s="5">
        <f>250000+40000+75000</f>
        <v>365000</v>
      </c>
      <c r="I166" s="6">
        <f t="shared" si="11"/>
        <v>365000</v>
      </c>
    </row>
    <row r="167" spans="1:9" ht="15">
      <c r="A167" s="15">
        <v>79</v>
      </c>
      <c r="B167" s="15">
        <v>4</v>
      </c>
      <c r="C167" s="19" t="s">
        <v>97</v>
      </c>
      <c r="D167" s="5"/>
      <c r="E167" s="5">
        <v>250000</v>
      </c>
      <c r="F167" s="6">
        <f t="shared" si="10"/>
        <v>250000</v>
      </c>
      <c r="G167" s="5"/>
      <c r="H167" s="5"/>
      <c r="I167" s="6">
        <f t="shared" si="11"/>
        <v>0</v>
      </c>
    </row>
    <row r="168" spans="1:9" ht="15">
      <c r="A168" s="15">
        <v>80</v>
      </c>
      <c r="B168" s="15">
        <v>5</v>
      </c>
      <c r="C168" s="19" t="s">
        <v>98</v>
      </c>
      <c r="D168" s="5"/>
      <c r="E168" s="5"/>
      <c r="F168" s="6">
        <f t="shared" si="10"/>
        <v>0</v>
      </c>
      <c r="G168" s="5"/>
      <c r="H168" s="5"/>
      <c r="I168" s="6">
        <f t="shared" si="11"/>
        <v>0</v>
      </c>
    </row>
    <row r="169" spans="1:9" ht="15">
      <c r="A169" s="15">
        <v>81</v>
      </c>
      <c r="B169" s="15">
        <v>6</v>
      </c>
      <c r="C169" s="20" t="s">
        <v>99</v>
      </c>
      <c r="D169" s="5">
        <f>20000000*3</f>
        <v>60000000</v>
      </c>
      <c r="E169" s="5"/>
      <c r="F169" s="6">
        <f t="shared" si="10"/>
        <v>60000000</v>
      </c>
      <c r="G169" s="5">
        <v>20000000</v>
      </c>
      <c r="H169" s="5"/>
      <c r="I169" s="6">
        <f t="shared" si="11"/>
        <v>20000000</v>
      </c>
    </row>
    <row r="170" spans="1:9" ht="15">
      <c r="A170" s="15">
        <v>82</v>
      </c>
      <c r="B170" s="15">
        <v>7</v>
      </c>
      <c r="C170" s="19" t="s">
        <v>100</v>
      </c>
      <c r="D170" s="5"/>
      <c r="E170" s="5"/>
      <c r="F170" s="6">
        <f t="shared" si="10"/>
        <v>0</v>
      </c>
      <c r="G170" s="5"/>
      <c r="H170" s="5"/>
      <c r="I170" s="6">
        <f t="shared" si="11"/>
        <v>0</v>
      </c>
    </row>
    <row r="171" spans="1:9" ht="15">
      <c r="A171" s="15">
        <v>83</v>
      </c>
      <c r="B171" s="15">
        <v>8</v>
      </c>
      <c r="C171" s="19" t="s">
        <v>101</v>
      </c>
      <c r="D171" s="5"/>
      <c r="E171" s="5"/>
      <c r="F171" s="6">
        <f t="shared" si="10"/>
        <v>0</v>
      </c>
      <c r="G171" s="5"/>
      <c r="H171" s="5"/>
      <c r="I171" s="6">
        <f t="shared" si="11"/>
        <v>0</v>
      </c>
    </row>
    <row r="172" spans="1:9" ht="15">
      <c r="A172" s="15">
        <v>84</v>
      </c>
      <c r="B172" s="15">
        <v>9</v>
      </c>
      <c r="C172" s="19" t="s">
        <v>102</v>
      </c>
      <c r="D172" s="5"/>
      <c r="E172" s="5"/>
      <c r="F172" s="6">
        <f t="shared" si="10"/>
        <v>0</v>
      </c>
      <c r="G172" s="5"/>
      <c r="H172" s="5"/>
      <c r="I172" s="6">
        <f t="shared" si="11"/>
        <v>0</v>
      </c>
    </row>
    <row r="173" spans="1:9" ht="15">
      <c r="A173" s="15">
        <v>85</v>
      </c>
      <c r="B173" s="15">
        <v>10</v>
      </c>
      <c r="C173" s="19" t="s">
        <v>103</v>
      </c>
      <c r="D173" s="5"/>
      <c r="E173" s="5"/>
      <c r="F173" s="6">
        <f t="shared" si="10"/>
        <v>0</v>
      </c>
      <c r="G173" s="5"/>
      <c r="H173" s="5"/>
      <c r="I173" s="6">
        <f t="shared" si="11"/>
        <v>0</v>
      </c>
    </row>
    <row r="174" spans="1:9" ht="15">
      <c r="A174" s="15">
        <v>86</v>
      </c>
      <c r="B174" s="15">
        <v>11</v>
      </c>
      <c r="C174" s="19" t="s">
        <v>104</v>
      </c>
      <c r="D174" s="5">
        <v>5629866</v>
      </c>
      <c r="E174" s="5"/>
      <c r="F174" s="6">
        <f t="shared" si="10"/>
        <v>5629866</v>
      </c>
      <c r="G174" s="5">
        <v>5135571</v>
      </c>
      <c r="H174" s="5"/>
      <c r="I174" s="6">
        <f t="shared" si="11"/>
        <v>5135571</v>
      </c>
    </row>
    <row r="175" spans="1:9" ht="15">
      <c r="A175" s="15">
        <v>87</v>
      </c>
      <c r="B175" s="15">
        <v>12</v>
      </c>
      <c r="C175" s="19" t="s">
        <v>105</v>
      </c>
      <c r="D175" s="5"/>
      <c r="E175" s="5"/>
      <c r="F175" s="6">
        <f t="shared" si="10"/>
        <v>0</v>
      </c>
      <c r="G175" s="5"/>
      <c r="H175" s="5"/>
      <c r="I175" s="6">
        <f t="shared" si="11"/>
        <v>0</v>
      </c>
    </row>
    <row r="176" spans="1:9" ht="15">
      <c r="A176" s="15">
        <v>88</v>
      </c>
      <c r="B176" s="15">
        <v>13</v>
      </c>
      <c r="C176" s="19" t="s">
        <v>106</v>
      </c>
      <c r="D176" s="5"/>
      <c r="E176" s="5"/>
      <c r="F176" s="6">
        <f t="shared" si="10"/>
        <v>0</v>
      </c>
      <c r="G176" s="5"/>
      <c r="H176" s="5"/>
      <c r="I176" s="6">
        <f t="shared" si="11"/>
        <v>0</v>
      </c>
    </row>
    <row r="177" spans="1:9" ht="15">
      <c r="A177" s="15">
        <v>89</v>
      </c>
      <c r="B177" s="15">
        <v>14</v>
      </c>
      <c r="C177" s="19" t="s">
        <v>251</v>
      </c>
      <c r="D177" s="5"/>
      <c r="E177" s="5">
        <v>62000</v>
      </c>
      <c r="F177" s="6">
        <f t="shared" si="10"/>
        <v>62000</v>
      </c>
      <c r="G177" s="5"/>
      <c r="H177" s="5">
        <v>62000</v>
      </c>
      <c r="I177" s="6">
        <f t="shared" si="11"/>
        <v>62000</v>
      </c>
    </row>
    <row r="178" spans="1:9" ht="15">
      <c r="A178" s="15">
        <v>90</v>
      </c>
      <c r="B178" s="15">
        <v>15</v>
      </c>
      <c r="C178" s="19" t="s">
        <v>108</v>
      </c>
      <c r="D178" s="5">
        <v>477000</v>
      </c>
      <c r="E178" s="5">
        <v>460000</v>
      </c>
      <c r="F178" s="6">
        <f t="shared" si="10"/>
        <v>937000</v>
      </c>
      <c r="G178" s="5">
        <v>477000</v>
      </c>
      <c r="H178" s="5">
        <v>460000</v>
      </c>
      <c r="I178" s="6">
        <f t="shared" si="11"/>
        <v>937000</v>
      </c>
    </row>
    <row r="179" spans="1:9" ht="15">
      <c r="A179" s="15">
        <v>91</v>
      </c>
      <c r="B179" s="15">
        <v>16</v>
      </c>
      <c r="C179" s="19" t="s">
        <v>109</v>
      </c>
      <c r="D179" s="5">
        <v>788100</v>
      </c>
      <c r="E179" s="5">
        <f>401000+325000</f>
        <v>726000</v>
      </c>
      <c r="F179" s="6">
        <f t="shared" si="10"/>
        <v>1514100</v>
      </c>
      <c r="G179" s="5">
        <v>788100</v>
      </c>
      <c r="H179" s="5">
        <f>325000+400000</f>
        <v>725000</v>
      </c>
      <c r="I179" s="6">
        <f t="shared" si="11"/>
        <v>1513100</v>
      </c>
    </row>
    <row r="180" spans="1:9" ht="15">
      <c r="A180" s="15">
        <v>92</v>
      </c>
      <c r="B180" s="15">
        <v>17</v>
      </c>
      <c r="C180" s="19" t="s">
        <v>110</v>
      </c>
      <c r="D180" s="5"/>
      <c r="E180" s="5"/>
      <c r="F180" s="6">
        <f t="shared" si="10"/>
        <v>0</v>
      </c>
      <c r="G180" s="5"/>
      <c r="H180" s="5"/>
      <c r="I180" s="6">
        <f t="shared" si="11"/>
        <v>0</v>
      </c>
    </row>
    <row r="181" spans="1:9" ht="15">
      <c r="A181" s="15">
        <v>93</v>
      </c>
      <c r="B181" s="15">
        <v>18</v>
      </c>
      <c r="C181" s="19" t="s">
        <v>111</v>
      </c>
      <c r="D181" s="5"/>
      <c r="E181" s="5"/>
      <c r="F181" s="6">
        <f t="shared" si="10"/>
        <v>0</v>
      </c>
      <c r="G181" s="5"/>
      <c r="H181" s="5"/>
      <c r="I181" s="6">
        <f t="shared" si="11"/>
        <v>0</v>
      </c>
    </row>
    <row r="182" spans="1:9" ht="15">
      <c r="A182" s="15">
        <v>94</v>
      </c>
      <c r="B182" s="15">
        <v>19</v>
      </c>
      <c r="C182" s="19" t="s">
        <v>112</v>
      </c>
      <c r="D182" s="5"/>
      <c r="E182" s="5"/>
      <c r="F182" s="6">
        <f t="shared" si="10"/>
        <v>0</v>
      </c>
      <c r="G182" s="5"/>
      <c r="H182" s="5"/>
      <c r="I182" s="6">
        <f t="shared" si="11"/>
        <v>0</v>
      </c>
    </row>
    <row r="183" spans="1:9" ht="15">
      <c r="A183" s="15">
        <v>95</v>
      </c>
      <c r="B183" s="15">
        <v>20</v>
      </c>
      <c r="C183" s="19" t="s">
        <v>113</v>
      </c>
      <c r="D183" s="5"/>
      <c r="E183" s="5"/>
      <c r="F183" s="6">
        <f t="shared" si="10"/>
        <v>0</v>
      </c>
      <c r="G183" s="5"/>
      <c r="H183" s="5"/>
      <c r="I183" s="6">
        <f t="shared" si="11"/>
        <v>0</v>
      </c>
    </row>
    <row r="184" spans="1:9" ht="15">
      <c r="A184" s="15">
        <v>96</v>
      </c>
      <c r="B184" s="15">
        <v>21</v>
      </c>
      <c r="C184" s="19" t="s">
        <v>114</v>
      </c>
      <c r="D184" s="5"/>
      <c r="E184" s="5"/>
      <c r="F184" s="6">
        <f>SUM(D184:E184)</f>
        <v>0</v>
      </c>
      <c r="G184" s="5"/>
      <c r="H184" s="5"/>
      <c r="I184" s="6">
        <f>SUM(G184:H184)</f>
        <v>0</v>
      </c>
    </row>
    <row r="185" spans="1:9" ht="15">
      <c r="A185" s="15">
        <v>97</v>
      </c>
      <c r="B185" s="15">
        <v>22</v>
      </c>
      <c r="C185" s="19" t="s">
        <v>115</v>
      </c>
      <c r="D185" s="5"/>
      <c r="E185" s="5"/>
      <c r="F185" s="6">
        <f t="shared" si="10"/>
        <v>0</v>
      </c>
      <c r="G185" s="5"/>
      <c r="H185" s="5"/>
      <c r="I185" s="6">
        <f>SUM(G185:H185)</f>
        <v>0</v>
      </c>
    </row>
    <row r="186" spans="1:9" ht="15">
      <c r="A186" s="15">
        <v>98</v>
      </c>
      <c r="B186" s="15">
        <v>23</v>
      </c>
      <c r="C186" s="19" t="s">
        <v>116</v>
      </c>
      <c r="D186" s="5">
        <v>40000</v>
      </c>
      <c r="E186" s="5">
        <v>1500</v>
      </c>
      <c r="F186" s="6">
        <f t="shared" si="10"/>
        <v>41500</v>
      </c>
      <c r="G186" s="5">
        <v>1500</v>
      </c>
      <c r="H186" s="5">
        <v>40000</v>
      </c>
      <c r="I186" s="6">
        <f>SUM(G186:H186)</f>
        <v>41500</v>
      </c>
    </row>
    <row r="187" spans="1:9" ht="15">
      <c r="A187" s="224" t="s">
        <v>5</v>
      </c>
      <c r="B187" s="225"/>
      <c r="C187" s="225"/>
      <c r="D187" s="7">
        <f>SUM(D164:D186)</f>
        <v>68318559</v>
      </c>
      <c r="E187" s="7">
        <f>SUM(E164:E186)</f>
        <v>1997000</v>
      </c>
      <c r="F187" s="7">
        <f>SUM(D187:E187)</f>
        <v>70315559</v>
      </c>
      <c r="G187" s="7">
        <f>SUM(G164:G186)</f>
        <v>27295714</v>
      </c>
      <c r="H187" s="7">
        <f>SUM(H164:H186)</f>
        <v>1771500</v>
      </c>
      <c r="I187" s="7">
        <f>SUM(G187:H187)</f>
        <v>29067214</v>
      </c>
    </row>
    <row r="188" spans="1:9" ht="15">
      <c r="A188" s="224" t="s">
        <v>117</v>
      </c>
      <c r="B188" s="225"/>
      <c r="C188" s="225"/>
      <c r="D188" s="225"/>
      <c r="E188" s="225"/>
      <c r="F188" s="225"/>
      <c r="G188" s="225"/>
      <c r="H188" s="225"/>
      <c r="I188" s="226"/>
    </row>
    <row r="189" spans="1:9" ht="15">
      <c r="A189" s="15">
        <v>99</v>
      </c>
      <c r="B189" s="15">
        <v>1</v>
      </c>
      <c r="C189" s="10" t="s">
        <v>118</v>
      </c>
      <c r="D189" s="5"/>
      <c r="E189" s="5"/>
      <c r="F189" s="6">
        <f>SUM(D189:E189)</f>
        <v>0</v>
      </c>
      <c r="G189" s="5"/>
      <c r="H189" s="5">
        <v>50000</v>
      </c>
      <c r="I189" s="6">
        <f>SUM(G189:H189)</f>
        <v>50000</v>
      </c>
    </row>
    <row r="190" spans="1:9" ht="15">
      <c r="A190" s="15">
        <v>100</v>
      </c>
      <c r="B190" s="15">
        <v>2</v>
      </c>
      <c r="C190" s="17" t="s">
        <v>119</v>
      </c>
      <c r="D190" s="5">
        <v>374475</v>
      </c>
      <c r="E190" s="5">
        <v>72200</v>
      </c>
      <c r="F190" s="6">
        <f aca="true" t="shared" si="12" ref="F190:F241">SUM(D190:E190)</f>
        <v>446675</v>
      </c>
      <c r="G190" s="5">
        <v>374475</v>
      </c>
      <c r="H190" s="5">
        <v>72200</v>
      </c>
      <c r="I190" s="6">
        <f aca="true" t="shared" si="13" ref="I190:I198">SUM(G190:H190)</f>
        <v>446675</v>
      </c>
    </row>
    <row r="191" spans="1:9" ht="15">
      <c r="A191" s="15">
        <v>101</v>
      </c>
      <c r="B191" s="15">
        <v>3</v>
      </c>
      <c r="C191" s="17" t="s">
        <v>120</v>
      </c>
      <c r="D191" s="5"/>
      <c r="E191" s="5">
        <v>90000</v>
      </c>
      <c r="F191" s="6">
        <f t="shared" si="12"/>
        <v>90000</v>
      </c>
      <c r="G191" s="5"/>
      <c r="H191" s="5">
        <v>80000</v>
      </c>
      <c r="I191" s="6">
        <f t="shared" si="13"/>
        <v>80000</v>
      </c>
    </row>
    <row r="192" spans="1:9" ht="15">
      <c r="A192" s="15">
        <v>102</v>
      </c>
      <c r="B192" s="15">
        <v>4</v>
      </c>
      <c r="C192" s="10" t="s">
        <v>121</v>
      </c>
      <c r="D192" s="5">
        <f>512000+402000</f>
        <v>914000</v>
      </c>
      <c r="E192" s="5">
        <v>84000</v>
      </c>
      <c r="F192" s="6">
        <f t="shared" si="12"/>
        <v>998000</v>
      </c>
      <c r="G192" s="5">
        <v>512000</v>
      </c>
      <c r="H192" s="5">
        <v>40000</v>
      </c>
      <c r="I192" s="6">
        <f t="shared" si="13"/>
        <v>552000</v>
      </c>
    </row>
    <row r="193" spans="1:9" ht="15">
      <c r="A193" s="15">
        <v>103</v>
      </c>
      <c r="B193" s="15">
        <v>5</v>
      </c>
      <c r="C193" s="23" t="s">
        <v>122</v>
      </c>
      <c r="D193" s="5"/>
      <c r="E193" s="5"/>
      <c r="F193" s="6">
        <f t="shared" si="12"/>
        <v>0</v>
      </c>
      <c r="G193" s="5"/>
      <c r="H193" s="5"/>
      <c r="I193" s="6">
        <f t="shared" si="13"/>
        <v>0</v>
      </c>
    </row>
    <row r="194" spans="1:9" ht="15">
      <c r="A194" s="15">
        <v>104</v>
      </c>
      <c r="B194" s="15">
        <v>6</v>
      </c>
      <c r="C194" s="23" t="s">
        <v>123</v>
      </c>
      <c r="D194" s="5">
        <v>195300</v>
      </c>
      <c r="E194" s="5">
        <v>340000</v>
      </c>
      <c r="F194" s="6">
        <f t="shared" si="12"/>
        <v>535300</v>
      </c>
      <c r="G194" s="5">
        <v>195300</v>
      </c>
      <c r="H194" s="5">
        <v>340000</v>
      </c>
      <c r="I194" s="6">
        <f t="shared" si="13"/>
        <v>535300</v>
      </c>
    </row>
    <row r="195" spans="1:9" ht="15">
      <c r="A195" s="15">
        <v>105</v>
      </c>
      <c r="B195" s="15">
        <v>7</v>
      </c>
      <c r="C195" s="23" t="s">
        <v>124</v>
      </c>
      <c r="D195" s="5"/>
      <c r="E195" s="5"/>
      <c r="F195" s="6">
        <f t="shared" si="12"/>
        <v>0</v>
      </c>
      <c r="G195" s="5"/>
      <c r="H195" s="5"/>
      <c r="I195" s="6">
        <f t="shared" si="13"/>
        <v>0</v>
      </c>
    </row>
    <row r="196" spans="1:9" ht="15">
      <c r="A196" s="15">
        <v>106</v>
      </c>
      <c r="B196" s="15">
        <v>8</v>
      </c>
      <c r="C196" s="23" t="s">
        <v>125</v>
      </c>
      <c r="D196" s="5"/>
      <c r="E196" s="5"/>
      <c r="F196" s="6">
        <f t="shared" si="12"/>
        <v>0</v>
      </c>
      <c r="G196" s="5"/>
      <c r="H196" s="5"/>
      <c r="I196" s="6">
        <f t="shared" si="13"/>
        <v>0</v>
      </c>
    </row>
    <row r="197" spans="1:9" ht="15">
      <c r="A197" s="15">
        <v>107</v>
      </c>
      <c r="B197" s="15">
        <v>9</v>
      </c>
      <c r="C197" s="23" t="s">
        <v>126</v>
      </c>
      <c r="D197" s="5"/>
      <c r="E197" s="5"/>
      <c r="F197" s="6">
        <f t="shared" si="12"/>
        <v>0</v>
      </c>
      <c r="G197" s="5"/>
      <c r="H197" s="5"/>
      <c r="I197" s="6">
        <f t="shared" si="13"/>
        <v>0</v>
      </c>
    </row>
    <row r="198" spans="1:9" ht="15">
      <c r="A198" s="15">
        <v>108</v>
      </c>
      <c r="B198" s="15">
        <v>10</v>
      </c>
      <c r="C198" s="23" t="s">
        <v>127</v>
      </c>
      <c r="D198" s="5"/>
      <c r="E198" s="5"/>
      <c r="F198" s="6">
        <f t="shared" si="12"/>
        <v>0</v>
      </c>
      <c r="G198" s="5"/>
      <c r="H198" s="5">
        <f>303000+300000</f>
        <v>603000</v>
      </c>
      <c r="I198" s="6">
        <f t="shared" si="13"/>
        <v>603000</v>
      </c>
    </row>
    <row r="199" spans="1:9" ht="15">
      <c r="A199" s="15">
        <v>109</v>
      </c>
      <c r="B199" s="15">
        <v>11</v>
      </c>
      <c r="C199" s="23" t="s">
        <v>129</v>
      </c>
      <c r="D199" s="5"/>
      <c r="E199" s="5"/>
      <c r="F199" s="6">
        <f>SUM(D199:E199)</f>
        <v>0</v>
      </c>
      <c r="G199" s="5"/>
      <c r="H199" s="5"/>
      <c r="I199" s="6">
        <f>SUM(G199:H199)</f>
        <v>0</v>
      </c>
    </row>
    <row r="200" spans="1:9" ht="15">
      <c r="A200" s="15">
        <v>110</v>
      </c>
      <c r="B200" s="15">
        <v>12</v>
      </c>
      <c r="C200" s="24" t="s">
        <v>128</v>
      </c>
      <c r="D200" s="86"/>
      <c r="E200" s="5">
        <v>400000</v>
      </c>
      <c r="F200" s="6">
        <f>SUM(D200:E200)</f>
        <v>400000</v>
      </c>
      <c r="G200" s="86"/>
      <c r="H200" s="5">
        <v>400000</v>
      </c>
      <c r="I200" s="6">
        <f>SUM(G200:H200)</f>
        <v>400000</v>
      </c>
    </row>
    <row r="201" spans="1:9" ht="15">
      <c r="A201" s="15">
        <v>111</v>
      </c>
      <c r="B201" s="15">
        <v>13</v>
      </c>
      <c r="C201" s="23" t="s">
        <v>130</v>
      </c>
      <c r="D201" s="5">
        <v>992800</v>
      </c>
      <c r="E201" s="5">
        <v>1016000</v>
      </c>
      <c r="F201" s="6">
        <f t="shared" si="12"/>
        <v>2008800</v>
      </c>
      <c r="G201" s="5"/>
      <c r="H201" s="5"/>
      <c r="I201" s="6">
        <f aca="true" t="shared" si="14" ref="I201:I241">SUM(G201:H201)</f>
        <v>0</v>
      </c>
    </row>
    <row r="202" spans="1:9" ht="15">
      <c r="A202" s="15">
        <v>112</v>
      </c>
      <c r="B202" s="15">
        <v>14</v>
      </c>
      <c r="C202" s="23" t="s">
        <v>131</v>
      </c>
      <c r="D202" s="5"/>
      <c r="E202" s="5"/>
      <c r="F202" s="6">
        <f t="shared" si="12"/>
        <v>0</v>
      </c>
      <c r="G202" s="5"/>
      <c r="H202" s="5"/>
      <c r="I202" s="6">
        <f t="shared" si="14"/>
        <v>0</v>
      </c>
    </row>
    <row r="203" spans="1:9" ht="15">
      <c r="A203" s="15">
        <v>113</v>
      </c>
      <c r="B203" s="15">
        <v>15</v>
      </c>
      <c r="C203" s="23" t="s">
        <v>132</v>
      </c>
      <c r="D203" s="5">
        <v>46000</v>
      </c>
      <c r="E203" s="5"/>
      <c r="F203" s="6">
        <f t="shared" si="12"/>
        <v>46000</v>
      </c>
      <c r="G203" s="5"/>
      <c r="H203" s="5">
        <v>46000</v>
      </c>
      <c r="I203" s="6">
        <f t="shared" si="14"/>
        <v>46000</v>
      </c>
    </row>
    <row r="204" spans="1:9" ht="15">
      <c r="A204" s="15">
        <v>114</v>
      </c>
      <c r="B204" s="15">
        <v>16</v>
      </c>
      <c r="C204" s="23" t="s">
        <v>133</v>
      </c>
      <c r="D204" s="5"/>
      <c r="E204" s="5"/>
      <c r="F204" s="6">
        <f t="shared" si="12"/>
        <v>0</v>
      </c>
      <c r="G204" s="5"/>
      <c r="H204" s="5"/>
      <c r="I204" s="6">
        <f t="shared" si="14"/>
        <v>0</v>
      </c>
    </row>
    <row r="205" spans="1:9" ht="15">
      <c r="A205" s="15">
        <v>115</v>
      </c>
      <c r="B205" s="15">
        <v>17</v>
      </c>
      <c r="C205" s="23" t="s">
        <v>134</v>
      </c>
      <c r="D205" s="5"/>
      <c r="E205" s="5">
        <v>17000</v>
      </c>
      <c r="F205" s="6">
        <f t="shared" si="12"/>
        <v>17000</v>
      </c>
      <c r="G205" s="5"/>
      <c r="H205" s="5">
        <v>17000</v>
      </c>
      <c r="I205" s="6">
        <f t="shared" si="14"/>
        <v>17000</v>
      </c>
    </row>
    <row r="206" spans="1:9" ht="15">
      <c r="A206" s="15">
        <v>116</v>
      </c>
      <c r="B206" s="15">
        <v>18</v>
      </c>
      <c r="C206" s="23" t="s">
        <v>135</v>
      </c>
      <c r="D206" s="5"/>
      <c r="E206" s="5"/>
      <c r="F206" s="6">
        <f t="shared" si="12"/>
        <v>0</v>
      </c>
      <c r="G206" s="5"/>
      <c r="H206" s="5"/>
      <c r="I206" s="6">
        <f t="shared" si="14"/>
        <v>0</v>
      </c>
    </row>
    <row r="207" spans="1:9" ht="15">
      <c r="A207" s="15">
        <v>117</v>
      </c>
      <c r="B207" s="15">
        <v>19</v>
      </c>
      <c r="C207" s="23" t="s">
        <v>136</v>
      </c>
      <c r="D207" s="5"/>
      <c r="E207" s="5">
        <v>187000</v>
      </c>
      <c r="F207" s="6">
        <f t="shared" si="12"/>
        <v>187000</v>
      </c>
      <c r="G207" s="5"/>
      <c r="H207" s="5">
        <v>182000</v>
      </c>
      <c r="I207" s="6">
        <f t="shared" si="14"/>
        <v>182000</v>
      </c>
    </row>
    <row r="208" spans="1:9" ht="15">
      <c r="A208" s="15">
        <v>118</v>
      </c>
      <c r="B208" s="15">
        <v>20</v>
      </c>
      <c r="C208" s="23" t="s">
        <v>137</v>
      </c>
      <c r="D208" s="5"/>
      <c r="E208" s="5"/>
      <c r="F208" s="6">
        <f t="shared" si="12"/>
        <v>0</v>
      </c>
      <c r="G208" s="5"/>
      <c r="H208" s="5"/>
      <c r="I208" s="6">
        <f t="shared" si="14"/>
        <v>0</v>
      </c>
    </row>
    <row r="209" spans="1:9" ht="15">
      <c r="A209" s="15">
        <v>119</v>
      </c>
      <c r="B209" s="15">
        <v>21</v>
      </c>
      <c r="C209" s="23" t="s">
        <v>138</v>
      </c>
      <c r="D209" s="5"/>
      <c r="E209" s="5"/>
      <c r="F209" s="6">
        <f t="shared" si="12"/>
        <v>0</v>
      </c>
      <c r="G209" s="5"/>
      <c r="H209" s="5">
        <v>420000</v>
      </c>
      <c r="I209" s="6">
        <f t="shared" si="14"/>
        <v>420000</v>
      </c>
    </row>
    <row r="210" spans="1:9" ht="15">
      <c r="A210" s="15">
        <v>120</v>
      </c>
      <c r="B210" s="15">
        <v>22</v>
      </c>
      <c r="C210" s="23" t="s">
        <v>139</v>
      </c>
      <c r="D210" s="5"/>
      <c r="E210" s="5">
        <v>170000</v>
      </c>
      <c r="F210" s="6">
        <f t="shared" si="12"/>
        <v>170000</v>
      </c>
      <c r="G210" s="5"/>
      <c r="H210" s="5">
        <v>170000</v>
      </c>
      <c r="I210" s="6">
        <f t="shared" si="14"/>
        <v>170000</v>
      </c>
    </row>
    <row r="211" spans="1:9" ht="15">
      <c r="A211" s="15">
        <v>121</v>
      </c>
      <c r="B211" s="15">
        <v>23</v>
      </c>
      <c r="C211" s="23" t="s">
        <v>140</v>
      </c>
      <c r="D211" s="5"/>
      <c r="E211" s="5"/>
      <c r="F211" s="6">
        <f t="shared" si="12"/>
        <v>0</v>
      </c>
      <c r="G211" s="5"/>
      <c r="H211" s="5"/>
      <c r="I211" s="6">
        <f t="shared" si="14"/>
        <v>0</v>
      </c>
    </row>
    <row r="212" spans="1:9" ht="15">
      <c r="A212" s="15">
        <v>122</v>
      </c>
      <c r="B212" s="15">
        <v>24</v>
      </c>
      <c r="C212" s="23" t="s">
        <v>141</v>
      </c>
      <c r="D212" s="5">
        <v>154000</v>
      </c>
      <c r="E212" s="5">
        <v>695000</v>
      </c>
      <c r="F212" s="6">
        <f t="shared" si="12"/>
        <v>849000</v>
      </c>
      <c r="G212" s="5">
        <v>154000</v>
      </c>
      <c r="H212" s="5">
        <v>670000</v>
      </c>
      <c r="I212" s="6">
        <f t="shared" si="14"/>
        <v>824000</v>
      </c>
    </row>
    <row r="213" spans="1:9" ht="15">
      <c r="A213" s="15">
        <v>123</v>
      </c>
      <c r="B213" s="15">
        <v>25</v>
      </c>
      <c r="C213" s="23" t="s">
        <v>142</v>
      </c>
      <c r="D213" s="5">
        <v>496000</v>
      </c>
      <c r="E213" s="5">
        <v>100000</v>
      </c>
      <c r="F213" s="6">
        <f t="shared" si="12"/>
        <v>596000</v>
      </c>
      <c r="G213" s="5">
        <v>496000</v>
      </c>
      <c r="H213" s="5">
        <v>100000</v>
      </c>
      <c r="I213" s="6">
        <f t="shared" si="14"/>
        <v>596000</v>
      </c>
    </row>
    <row r="214" spans="1:9" ht="15">
      <c r="A214" s="15">
        <v>124</v>
      </c>
      <c r="B214" s="15">
        <v>26</v>
      </c>
      <c r="C214" s="23" t="s">
        <v>143</v>
      </c>
      <c r="D214" s="5"/>
      <c r="E214" s="5"/>
      <c r="F214" s="6">
        <f t="shared" si="12"/>
        <v>0</v>
      </c>
      <c r="G214" s="5"/>
      <c r="H214" s="5"/>
      <c r="I214" s="6">
        <f t="shared" si="14"/>
        <v>0</v>
      </c>
    </row>
    <row r="215" spans="1:9" ht="15">
      <c r="A215" s="15">
        <v>125</v>
      </c>
      <c r="B215" s="15">
        <v>27</v>
      </c>
      <c r="C215" s="23" t="s">
        <v>144</v>
      </c>
      <c r="D215" s="5">
        <v>830000</v>
      </c>
      <c r="E215" s="5"/>
      <c r="F215" s="6">
        <f t="shared" si="12"/>
        <v>830000</v>
      </c>
      <c r="G215" s="5">
        <v>830000</v>
      </c>
      <c r="H215" s="5"/>
      <c r="I215" s="6">
        <f t="shared" si="14"/>
        <v>830000</v>
      </c>
    </row>
    <row r="216" spans="1:9" ht="15">
      <c r="A216" s="15">
        <v>126</v>
      </c>
      <c r="B216" s="15">
        <v>28</v>
      </c>
      <c r="C216" s="23" t="s">
        <v>145</v>
      </c>
      <c r="D216" s="5"/>
      <c r="E216" s="5"/>
      <c r="F216" s="6">
        <f t="shared" si="12"/>
        <v>0</v>
      </c>
      <c r="G216" s="5"/>
      <c r="H216" s="5"/>
      <c r="I216" s="6">
        <f t="shared" si="14"/>
        <v>0</v>
      </c>
    </row>
    <row r="217" spans="1:9" ht="15">
      <c r="A217" s="15">
        <v>127</v>
      </c>
      <c r="B217" s="15">
        <v>29</v>
      </c>
      <c r="C217" s="23" t="s">
        <v>146</v>
      </c>
      <c r="D217" s="5"/>
      <c r="E217" s="5"/>
      <c r="F217" s="6">
        <f t="shared" si="12"/>
        <v>0</v>
      </c>
      <c r="G217" s="5"/>
      <c r="H217" s="5"/>
      <c r="I217" s="6">
        <f t="shared" si="14"/>
        <v>0</v>
      </c>
    </row>
    <row r="218" spans="1:9" ht="15">
      <c r="A218" s="15">
        <v>128</v>
      </c>
      <c r="B218" s="15">
        <v>30</v>
      </c>
      <c r="C218" s="23" t="s">
        <v>147</v>
      </c>
      <c r="D218" s="5"/>
      <c r="E218" s="5"/>
      <c r="F218" s="6">
        <f t="shared" si="12"/>
        <v>0</v>
      </c>
      <c r="G218" s="5"/>
      <c r="H218" s="5"/>
      <c r="I218" s="6">
        <f t="shared" si="14"/>
        <v>0</v>
      </c>
    </row>
    <row r="219" spans="1:9" ht="15">
      <c r="A219" s="15">
        <v>129</v>
      </c>
      <c r="B219" s="15">
        <v>31</v>
      </c>
      <c r="C219" s="23" t="s">
        <v>148</v>
      </c>
      <c r="D219" s="5"/>
      <c r="E219" s="5"/>
      <c r="F219" s="6">
        <f t="shared" si="12"/>
        <v>0</v>
      </c>
      <c r="G219" s="5">
        <v>775000</v>
      </c>
      <c r="H219" s="5"/>
      <c r="I219" s="6">
        <f t="shared" si="14"/>
        <v>775000</v>
      </c>
    </row>
    <row r="220" spans="1:9" ht="15">
      <c r="A220" s="15">
        <v>130</v>
      </c>
      <c r="B220" s="15">
        <v>32</v>
      </c>
      <c r="C220" s="23" t="s">
        <v>149</v>
      </c>
      <c r="D220" s="5"/>
      <c r="E220" s="5">
        <v>110000</v>
      </c>
      <c r="F220" s="6">
        <f t="shared" si="12"/>
        <v>110000</v>
      </c>
      <c r="G220" s="5"/>
      <c r="H220" s="5">
        <v>110000</v>
      </c>
      <c r="I220" s="6">
        <f t="shared" si="14"/>
        <v>110000</v>
      </c>
    </row>
    <row r="221" spans="1:9" ht="15">
      <c r="A221" s="15">
        <v>131</v>
      </c>
      <c r="B221" s="15">
        <v>33</v>
      </c>
      <c r="C221" s="23" t="s">
        <v>150</v>
      </c>
      <c r="D221" s="5"/>
      <c r="E221" s="5">
        <v>82000</v>
      </c>
      <c r="F221" s="6">
        <f t="shared" si="12"/>
        <v>82000</v>
      </c>
      <c r="G221" s="5"/>
      <c r="H221" s="5"/>
      <c r="I221" s="6">
        <f t="shared" si="14"/>
        <v>0</v>
      </c>
    </row>
    <row r="222" spans="1:9" ht="15">
      <c r="A222" s="15">
        <v>132</v>
      </c>
      <c r="B222" s="15">
        <v>34</v>
      </c>
      <c r="C222" s="23" t="s">
        <v>151</v>
      </c>
      <c r="D222" s="5"/>
      <c r="E222" s="5"/>
      <c r="F222" s="6">
        <f t="shared" si="12"/>
        <v>0</v>
      </c>
      <c r="G222" s="5"/>
      <c r="H222" s="5"/>
      <c r="I222" s="6">
        <f t="shared" si="14"/>
        <v>0</v>
      </c>
    </row>
    <row r="223" spans="1:9" ht="15">
      <c r="A223" s="15">
        <v>133</v>
      </c>
      <c r="B223" s="15">
        <v>35</v>
      </c>
      <c r="C223" s="23" t="s">
        <v>152</v>
      </c>
      <c r="D223" s="5"/>
      <c r="E223" s="5"/>
      <c r="F223" s="6">
        <f t="shared" si="12"/>
        <v>0</v>
      </c>
      <c r="G223" s="5"/>
      <c r="H223" s="5"/>
      <c r="I223" s="6">
        <f t="shared" si="14"/>
        <v>0</v>
      </c>
    </row>
    <row r="224" spans="1:9" ht="15">
      <c r="A224" s="15">
        <v>134</v>
      </c>
      <c r="B224" s="15">
        <v>36</v>
      </c>
      <c r="C224" s="23" t="s">
        <v>153</v>
      </c>
      <c r="D224" s="5"/>
      <c r="E224" s="5"/>
      <c r="F224" s="6">
        <f t="shared" si="12"/>
        <v>0</v>
      </c>
      <c r="G224" s="5"/>
      <c r="H224" s="5"/>
      <c r="I224" s="6">
        <f t="shared" si="14"/>
        <v>0</v>
      </c>
    </row>
    <row r="225" spans="1:9" ht="15">
      <c r="A225" s="15">
        <v>135</v>
      </c>
      <c r="B225" s="15">
        <v>37</v>
      </c>
      <c r="C225" s="23" t="s">
        <v>154</v>
      </c>
      <c r="D225" s="5"/>
      <c r="E225" s="5"/>
      <c r="F225" s="6">
        <f t="shared" si="12"/>
        <v>0</v>
      </c>
      <c r="G225" s="5"/>
      <c r="H225" s="5"/>
      <c r="I225" s="6">
        <f t="shared" si="14"/>
        <v>0</v>
      </c>
    </row>
    <row r="226" spans="1:9" ht="15">
      <c r="A226" s="15">
        <v>136</v>
      </c>
      <c r="B226" s="15">
        <v>38</v>
      </c>
      <c r="C226" s="23" t="s">
        <v>155</v>
      </c>
      <c r="D226" s="5"/>
      <c r="E226" s="5"/>
      <c r="F226" s="6">
        <f t="shared" si="12"/>
        <v>0</v>
      </c>
      <c r="G226" s="5"/>
      <c r="H226" s="5"/>
      <c r="I226" s="6">
        <f t="shared" si="14"/>
        <v>0</v>
      </c>
    </row>
    <row r="227" spans="1:9" ht="15">
      <c r="A227" s="15">
        <v>137</v>
      </c>
      <c r="B227" s="15">
        <v>39</v>
      </c>
      <c r="C227" s="23" t="s">
        <v>156</v>
      </c>
      <c r="D227" s="5"/>
      <c r="E227" s="5">
        <v>320000</v>
      </c>
      <c r="F227" s="6">
        <f t="shared" si="12"/>
        <v>320000</v>
      </c>
      <c r="G227" s="5"/>
      <c r="H227" s="5">
        <v>320000</v>
      </c>
      <c r="I227" s="6">
        <f t="shared" si="14"/>
        <v>320000</v>
      </c>
    </row>
    <row r="228" spans="1:9" ht="15">
      <c r="A228" s="15">
        <v>138</v>
      </c>
      <c r="B228" s="15">
        <v>40</v>
      </c>
      <c r="C228" s="23" t="s">
        <v>157</v>
      </c>
      <c r="D228" s="5"/>
      <c r="E228" s="5"/>
      <c r="F228" s="6">
        <f t="shared" si="12"/>
        <v>0</v>
      </c>
      <c r="G228" s="5"/>
      <c r="H228" s="5"/>
      <c r="I228" s="6">
        <f t="shared" si="14"/>
        <v>0</v>
      </c>
    </row>
    <row r="229" spans="1:9" ht="15">
      <c r="A229" s="15">
        <v>139</v>
      </c>
      <c r="B229" s="15">
        <v>41</v>
      </c>
      <c r="C229" s="23" t="s">
        <v>158</v>
      </c>
      <c r="D229" s="5"/>
      <c r="E229" s="5"/>
      <c r="F229" s="6">
        <f t="shared" si="12"/>
        <v>0</v>
      </c>
      <c r="G229" s="5"/>
      <c r="H229" s="5"/>
      <c r="I229" s="6">
        <f t="shared" si="14"/>
        <v>0</v>
      </c>
    </row>
    <row r="230" spans="1:9" ht="15">
      <c r="A230" s="15">
        <v>140</v>
      </c>
      <c r="B230" s="15">
        <v>42</v>
      </c>
      <c r="C230" s="23" t="s">
        <v>159</v>
      </c>
      <c r="D230" s="5"/>
      <c r="E230" s="5"/>
      <c r="F230" s="6">
        <f t="shared" si="12"/>
        <v>0</v>
      </c>
      <c r="G230" s="5"/>
      <c r="H230" s="5"/>
      <c r="I230" s="6">
        <f t="shared" si="14"/>
        <v>0</v>
      </c>
    </row>
    <row r="231" spans="1:9" ht="15">
      <c r="A231" s="15">
        <v>141</v>
      </c>
      <c r="B231" s="15">
        <v>43</v>
      </c>
      <c r="C231" s="23" t="s">
        <v>160</v>
      </c>
      <c r="D231" s="5">
        <v>180000</v>
      </c>
      <c r="E231" s="5"/>
      <c r="F231" s="6">
        <f t="shared" si="12"/>
        <v>180000</v>
      </c>
      <c r="G231" s="5"/>
      <c r="H231" s="5"/>
      <c r="I231" s="6">
        <f t="shared" si="14"/>
        <v>0</v>
      </c>
    </row>
    <row r="232" spans="1:9" ht="15">
      <c r="A232" s="15">
        <v>142</v>
      </c>
      <c r="B232" s="15">
        <v>44</v>
      </c>
      <c r="C232" s="23" t="s">
        <v>161</v>
      </c>
      <c r="D232" s="5"/>
      <c r="E232" s="5"/>
      <c r="F232" s="6">
        <f t="shared" si="12"/>
        <v>0</v>
      </c>
      <c r="G232" s="5"/>
      <c r="H232" s="5"/>
      <c r="I232" s="6">
        <f t="shared" si="14"/>
        <v>0</v>
      </c>
    </row>
    <row r="233" spans="1:9" ht="15">
      <c r="A233" s="15">
        <v>143</v>
      </c>
      <c r="B233" s="15">
        <v>45</v>
      </c>
      <c r="C233" s="23" t="s">
        <v>246</v>
      </c>
      <c r="D233" s="5"/>
      <c r="E233" s="5"/>
      <c r="F233" s="6">
        <f>SUM(D233:E233)</f>
        <v>0</v>
      </c>
      <c r="G233" s="5"/>
      <c r="H233" s="5"/>
      <c r="I233" s="6">
        <f>SUM(G233:H233)</f>
        <v>0</v>
      </c>
    </row>
    <row r="234" spans="1:9" ht="15">
      <c r="A234" s="15">
        <v>144</v>
      </c>
      <c r="B234" s="15">
        <v>46</v>
      </c>
      <c r="C234" s="23" t="s">
        <v>169</v>
      </c>
      <c r="D234" s="5"/>
      <c r="E234" s="5">
        <f>34000+36000+36000+36000</f>
        <v>142000</v>
      </c>
      <c r="F234" s="6">
        <f>SUM(D234:E234)</f>
        <v>142000</v>
      </c>
      <c r="G234" s="5"/>
      <c r="H234" s="5"/>
      <c r="I234" s="6">
        <f>SUM(G234:H234)</f>
        <v>0</v>
      </c>
    </row>
    <row r="235" spans="1:9" ht="15">
      <c r="A235" s="15">
        <v>145</v>
      </c>
      <c r="B235" s="15">
        <v>47</v>
      </c>
      <c r="C235" s="25" t="s">
        <v>170</v>
      </c>
      <c r="D235" s="5"/>
      <c r="E235" s="5"/>
      <c r="F235" s="6">
        <f>SUM(D235:E235)</f>
        <v>0</v>
      </c>
      <c r="G235" s="5">
        <v>1000000</v>
      </c>
      <c r="H235" s="5"/>
      <c r="I235" s="6">
        <f>SUM(G235:H235)</f>
        <v>1000000</v>
      </c>
    </row>
    <row r="236" spans="1:9" ht="15">
      <c r="A236" s="15">
        <v>146</v>
      </c>
      <c r="B236" s="15">
        <v>48</v>
      </c>
      <c r="C236" s="23" t="s">
        <v>162</v>
      </c>
      <c r="D236" s="5"/>
      <c r="E236" s="5"/>
      <c r="F236" s="6">
        <f t="shared" si="12"/>
        <v>0</v>
      </c>
      <c r="G236" s="5"/>
      <c r="H236" s="5"/>
      <c r="I236" s="6">
        <f t="shared" si="14"/>
        <v>0</v>
      </c>
    </row>
    <row r="237" spans="1:9" ht="15">
      <c r="A237" s="15">
        <v>147</v>
      </c>
      <c r="B237" s="15">
        <v>49</v>
      </c>
      <c r="C237" s="23" t="s">
        <v>165</v>
      </c>
      <c r="D237" s="5">
        <v>1000000</v>
      </c>
      <c r="E237" s="5"/>
      <c r="F237" s="6">
        <f t="shared" si="12"/>
        <v>1000000</v>
      </c>
      <c r="G237" s="5"/>
      <c r="H237" s="5"/>
      <c r="I237" s="6">
        <f t="shared" si="14"/>
        <v>0</v>
      </c>
    </row>
    <row r="238" spans="1:9" ht="15">
      <c r="A238" s="15">
        <v>148</v>
      </c>
      <c r="B238" s="15">
        <v>50</v>
      </c>
      <c r="C238" s="23" t="s">
        <v>166</v>
      </c>
      <c r="D238" s="5"/>
      <c r="E238" s="5"/>
      <c r="F238" s="6">
        <f t="shared" si="12"/>
        <v>0</v>
      </c>
      <c r="G238" s="5"/>
      <c r="H238" s="5"/>
      <c r="I238" s="6">
        <f t="shared" si="14"/>
        <v>0</v>
      </c>
    </row>
    <row r="239" spans="1:9" ht="15">
      <c r="A239" s="15">
        <v>149</v>
      </c>
      <c r="B239" s="15">
        <v>51</v>
      </c>
      <c r="C239" s="23" t="s">
        <v>167</v>
      </c>
      <c r="D239" s="5"/>
      <c r="E239" s="5"/>
      <c r="F239" s="6">
        <f t="shared" si="12"/>
        <v>0</v>
      </c>
      <c r="G239" s="5">
        <f>1000000+3060000</f>
        <v>4060000</v>
      </c>
      <c r="H239" s="5"/>
      <c r="I239" s="6">
        <f t="shared" si="14"/>
        <v>4060000</v>
      </c>
    </row>
    <row r="240" spans="1:9" ht="15">
      <c r="A240" s="15">
        <v>150</v>
      </c>
      <c r="B240" s="15">
        <v>52</v>
      </c>
      <c r="C240" s="23" t="s">
        <v>168</v>
      </c>
      <c r="D240" s="5">
        <v>5000000</v>
      </c>
      <c r="E240" s="5"/>
      <c r="F240" s="6">
        <f t="shared" si="12"/>
        <v>5000000</v>
      </c>
      <c r="G240" s="5"/>
      <c r="H240" s="5"/>
      <c r="I240" s="6">
        <f t="shared" si="14"/>
        <v>0</v>
      </c>
    </row>
    <row r="241" spans="1:9" ht="15">
      <c r="A241" s="15">
        <v>151</v>
      </c>
      <c r="B241" s="15">
        <v>53</v>
      </c>
      <c r="C241" s="23" t="s">
        <v>494</v>
      </c>
      <c r="D241" s="5">
        <v>391000</v>
      </c>
      <c r="E241" s="5"/>
      <c r="F241" s="6">
        <f t="shared" si="12"/>
        <v>391000</v>
      </c>
      <c r="G241" s="5">
        <v>391000</v>
      </c>
      <c r="H241" s="5"/>
      <c r="I241" s="6">
        <f t="shared" si="14"/>
        <v>391000</v>
      </c>
    </row>
    <row r="242" spans="1:9" ht="15">
      <c r="A242" s="15">
        <v>152</v>
      </c>
      <c r="B242" s="15">
        <v>54</v>
      </c>
      <c r="C242" s="23" t="s">
        <v>163</v>
      </c>
      <c r="D242" s="5">
        <v>750000</v>
      </c>
      <c r="E242" s="5"/>
      <c r="F242" s="6">
        <f>SUM(D242:E242)</f>
        <v>750000</v>
      </c>
      <c r="G242" s="5"/>
      <c r="H242" s="5"/>
      <c r="I242" s="6">
        <f>SUM(G242:H242)</f>
        <v>0</v>
      </c>
    </row>
    <row r="243" spans="1:9" ht="15">
      <c r="A243" s="15">
        <v>153</v>
      </c>
      <c r="B243" s="15">
        <v>55</v>
      </c>
      <c r="C243" s="23" t="s">
        <v>164</v>
      </c>
      <c r="D243" s="5">
        <v>350000</v>
      </c>
      <c r="E243" s="5"/>
      <c r="F243" s="6">
        <f>SUM(D243:E243)</f>
        <v>350000</v>
      </c>
      <c r="G243" s="5">
        <v>350000</v>
      </c>
      <c r="H243" s="5"/>
      <c r="I243" s="6">
        <f>SUM(G243:H243)</f>
        <v>350000</v>
      </c>
    </row>
    <row r="244" spans="1:9" ht="15">
      <c r="A244" s="15">
        <v>154</v>
      </c>
      <c r="B244" s="15">
        <v>56</v>
      </c>
      <c r="C244" s="23" t="s">
        <v>247</v>
      </c>
      <c r="D244" s="5"/>
      <c r="E244" s="5"/>
      <c r="F244" s="6">
        <f>SUM(D244:E244)</f>
        <v>0</v>
      </c>
      <c r="G244" s="5"/>
      <c r="H244" s="5"/>
      <c r="I244" s="6">
        <f>SUM(G244:H244)</f>
        <v>0</v>
      </c>
    </row>
    <row r="245" spans="1:9" ht="15">
      <c r="A245" s="239" t="s">
        <v>5</v>
      </c>
      <c r="B245" s="239"/>
      <c r="C245" s="239"/>
      <c r="D245" s="7">
        <f>SUM(D189:D244)</f>
        <v>11673575</v>
      </c>
      <c r="E245" s="7">
        <f>SUM(E189:E244)</f>
        <v>3825200</v>
      </c>
      <c r="F245" s="7">
        <f>SUM(D245:E245)</f>
        <v>15498775</v>
      </c>
      <c r="G245" s="7">
        <f>SUM(G189:G244)</f>
        <v>9137775</v>
      </c>
      <c r="H245" s="7">
        <f>SUM(H189:H244)</f>
        <v>3620200</v>
      </c>
      <c r="I245" s="7">
        <f>SUM(G245:H245)</f>
        <v>12757975</v>
      </c>
    </row>
    <row r="246" spans="1:9" ht="15">
      <c r="A246" s="224" t="s">
        <v>575</v>
      </c>
      <c r="B246" s="225"/>
      <c r="C246" s="225"/>
      <c r="D246" s="225"/>
      <c r="E246" s="225"/>
      <c r="F246" s="225"/>
      <c r="G246" s="225"/>
      <c r="H246" s="225"/>
      <c r="I246" s="226"/>
    </row>
    <row r="247" spans="1:9" ht="15">
      <c r="A247" s="15">
        <v>155</v>
      </c>
      <c r="B247" s="15">
        <v>1</v>
      </c>
      <c r="C247" s="20" t="s">
        <v>574</v>
      </c>
      <c r="D247" s="5">
        <v>5731200</v>
      </c>
      <c r="E247" s="5">
        <v>1329500</v>
      </c>
      <c r="F247" s="6">
        <f>SUM(D247:E247)</f>
        <v>7060700</v>
      </c>
      <c r="G247" s="5">
        <v>5356424</v>
      </c>
      <c r="H247" s="5">
        <v>1304500</v>
      </c>
      <c r="I247" s="6">
        <f>SUM(G247:H247)</f>
        <v>6660924</v>
      </c>
    </row>
    <row r="248" spans="1:9" ht="15">
      <c r="A248" s="15">
        <v>156</v>
      </c>
      <c r="B248" s="79">
        <v>2</v>
      </c>
      <c r="C248" s="96" t="s">
        <v>250</v>
      </c>
      <c r="D248" s="5"/>
      <c r="E248" s="5"/>
      <c r="F248" s="6">
        <f>SUM(D248:E248)</f>
        <v>0</v>
      </c>
      <c r="G248" s="5"/>
      <c r="H248" s="5"/>
      <c r="I248" s="6">
        <f>SUM(G248:H248)</f>
        <v>0</v>
      </c>
    </row>
    <row r="249" spans="1:9" ht="15">
      <c r="A249" s="224" t="s">
        <v>42</v>
      </c>
      <c r="B249" s="225"/>
      <c r="C249" s="225"/>
      <c r="D249" s="7">
        <f>D247</f>
        <v>5731200</v>
      </c>
      <c r="E249" s="7">
        <f>E247</f>
        <v>1329500</v>
      </c>
      <c r="F249" s="7">
        <f>SUM(D249:E249)</f>
        <v>7060700</v>
      </c>
      <c r="G249" s="7">
        <f>SUM(G247:G248)</f>
        <v>5356424</v>
      </c>
      <c r="H249" s="7">
        <f>SUM(H247:H248)</f>
        <v>1304500</v>
      </c>
      <c r="I249" s="7">
        <f>SUM(G249:H249)</f>
        <v>6660924</v>
      </c>
    </row>
    <row r="250" spans="1:9" ht="15">
      <c r="A250" s="224" t="s">
        <v>173</v>
      </c>
      <c r="B250" s="225"/>
      <c r="C250" s="225"/>
      <c r="D250" s="225"/>
      <c r="E250" s="225"/>
      <c r="F250" s="225"/>
      <c r="G250" s="225"/>
      <c r="H250" s="225"/>
      <c r="I250" s="226"/>
    </row>
    <row r="251" spans="1:9" ht="15">
      <c r="A251" s="15">
        <v>157</v>
      </c>
      <c r="B251" s="15">
        <v>1</v>
      </c>
      <c r="C251" s="26" t="s">
        <v>174</v>
      </c>
      <c r="D251" s="5"/>
      <c r="E251" s="27"/>
      <c r="F251" s="6">
        <f>SUM(D251:E251)</f>
        <v>0</v>
      </c>
      <c r="G251" s="5"/>
      <c r="H251" s="27"/>
      <c r="I251" s="6">
        <f>SUM(G251:H251)</f>
        <v>0</v>
      </c>
    </row>
    <row r="252" spans="1:9" ht="15">
      <c r="A252" s="15">
        <v>158</v>
      </c>
      <c r="B252" s="15">
        <v>2</v>
      </c>
      <c r="C252" s="28" t="s">
        <v>175</v>
      </c>
      <c r="D252" s="5"/>
      <c r="E252" s="27">
        <v>1500000</v>
      </c>
      <c r="F252" s="6">
        <f>D252+E252</f>
        <v>1500000</v>
      </c>
      <c r="G252" s="5"/>
      <c r="H252" s="27">
        <v>1500000</v>
      </c>
      <c r="I252" s="6">
        <f>G252+H252</f>
        <v>1500000</v>
      </c>
    </row>
    <row r="253" spans="1:9" ht="15">
      <c r="A253" s="224" t="s">
        <v>42</v>
      </c>
      <c r="B253" s="225"/>
      <c r="C253" s="225"/>
      <c r="D253" s="7">
        <f>SUM(D251:D252)</f>
        <v>0</v>
      </c>
      <c r="E253" s="7">
        <f>SUM(E251:E252)</f>
        <v>1500000</v>
      </c>
      <c r="F253" s="7">
        <f>SUM(D253:E253)</f>
        <v>1500000</v>
      </c>
      <c r="G253" s="7">
        <f>SUM(G251:G252)</f>
        <v>0</v>
      </c>
      <c r="H253" s="7">
        <f>SUM(H251:H252)</f>
        <v>1500000</v>
      </c>
      <c r="I253" s="7">
        <f>SUM(G253:H253)</f>
        <v>1500000</v>
      </c>
    </row>
    <row r="254" spans="1:9" ht="15">
      <c r="A254" s="224" t="s">
        <v>524</v>
      </c>
      <c r="B254" s="225"/>
      <c r="C254" s="225"/>
      <c r="D254" s="225"/>
      <c r="E254" s="225"/>
      <c r="F254" s="225"/>
      <c r="G254" s="225"/>
      <c r="H254" s="225"/>
      <c r="I254" s="226"/>
    </row>
    <row r="255" spans="1:9" ht="15">
      <c r="A255" s="15">
        <v>159</v>
      </c>
      <c r="B255" s="15">
        <v>1</v>
      </c>
      <c r="C255" s="26" t="s">
        <v>525</v>
      </c>
      <c r="D255" s="5"/>
      <c r="E255" s="27">
        <v>3237500</v>
      </c>
      <c r="F255" s="6">
        <f>SUM(D255:E255)</f>
        <v>3237500</v>
      </c>
      <c r="G255" s="5"/>
      <c r="H255" s="27"/>
      <c r="I255" s="6">
        <f>SUM(G255:H255)</f>
        <v>0</v>
      </c>
    </row>
    <row r="256" spans="1:9" ht="15">
      <c r="A256" s="224" t="s">
        <v>42</v>
      </c>
      <c r="B256" s="225"/>
      <c r="C256" s="225"/>
      <c r="D256" s="7">
        <f>SUM(D255:D255)</f>
        <v>0</v>
      </c>
      <c r="E256" s="7">
        <f>SUM(E255:E255)</f>
        <v>3237500</v>
      </c>
      <c r="F256" s="7">
        <f>SUM(D256:E256)</f>
        <v>3237500</v>
      </c>
      <c r="G256" s="7">
        <f>SUM(G255:G255)</f>
        <v>0</v>
      </c>
      <c r="H256" s="7">
        <f>SUM(H255:H255)</f>
        <v>0</v>
      </c>
      <c r="I256" s="7">
        <f>SUM(G256:H256)</f>
        <v>0</v>
      </c>
    </row>
    <row r="257" spans="1:9" ht="15">
      <c r="A257" s="224" t="s">
        <v>176</v>
      </c>
      <c r="B257" s="225"/>
      <c r="C257" s="225"/>
      <c r="D257" s="225"/>
      <c r="E257" s="225"/>
      <c r="F257" s="225"/>
      <c r="G257" s="225"/>
      <c r="H257" s="225"/>
      <c r="I257" s="226"/>
    </row>
    <row r="258" spans="1:13" ht="15">
      <c r="A258" s="15">
        <v>160</v>
      </c>
      <c r="B258" s="15">
        <v>1</v>
      </c>
      <c r="C258" s="17" t="s">
        <v>177</v>
      </c>
      <c r="D258" s="5"/>
      <c r="E258" s="5"/>
      <c r="F258" s="6">
        <f>SUM(D258:E258)</f>
        <v>0</v>
      </c>
      <c r="G258" s="5"/>
      <c r="H258" s="5">
        <v>28196000</v>
      </c>
      <c r="I258" s="6">
        <f>SUM(G258:H258)</f>
        <v>28196000</v>
      </c>
      <c r="L258" s="112"/>
      <c r="M258" s="112"/>
    </row>
    <row r="259" spans="1:13" ht="15">
      <c r="A259" s="15">
        <v>161</v>
      </c>
      <c r="B259" s="15">
        <v>2</v>
      </c>
      <c r="C259" s="17" t="s">
        <v>178</v>
      </c>
      <c r="D259" s="5">
        <f>50000+180000+24000+190250</f>
        <v>444250</v>
      </c>
      <c r="E259" s="5">
        <f>498000+1000000+500000</f>
        <v>1998000</v>
      </c>
      <c r="F259" s="6">
        <f aca="true" t="shared" si="15" ref="F259:F266">SUM(D259:E259)</f>
        <v>2442250</v>
      </c>
      <c r="G259" s="5"/>
      <c r="H259" s="5"/>
      <c r="I259" s="6">
        <f aca="true" t="shared" si="16" ref="I259:I266">SUM(G259:H259)</f>
        <v>0</v>
      </c>
      <c r="L259" s="16"/>
      <c r="M259" s="100"/>
    </row>
    <row r="260" spans="1:13" ht="15">
      <c r="A260" s="15">
        <v>162</v>
      </c>
      <c r="B260" s="15">
        <v>3</v>
      </c>
      <c r="C260" s="29" t="s">
        <v>179</v>
      </c>
      <c r="D260" s="5"/>
      <c r="E260" s="5"/>
      <c r="F260" s="6">
        <f t="shared" si="15"/>
        <v>0</v>
      </c>
      <c r="G260" s="5"/>
      <c r="H260" s="5"/>
      <c r="I260" s="6">
        <f t="shared" si="16"/>
        <v>0</v>
      </c>
      <c r="L260" s="16"/>
      <c r="M260" s="16"/>
    </row>
    <row r="261" spans="1:13" ht="15">
      <c r="A261" s="15">
        <v>163</v>
      </c>
      <c r="B261" s="15">
        <v>4</v>
      </c>
      <c r="C261" s="29" t="s">
        <v>254</v>
      </c>
      <c r="D261" s="5"/>
      <c r="E261" s="5"/>
      <c r="F261" s="6">
        <f t="shared" si="15"/>
        <v>0</v>
      </c>
      <c r="G261" s="5"/>
      <c r="H261" s="5"/>
      <c r="I261" s="6">
        <f t="shared" si="16"/>
        <v>0</v>
      </c>
      <c r="L261" s="16"/>
      <c r="M261" s="16"/>
    </row>
    <row r="262" spans="1:13" ht="15">
      <c r="A262" s="15">
        <v>164</v>
      </c>
      <c r="B262" s="15">
        <v>5</v>
      </c>
      <c r="C262" s="26" t="s">
        <v>220</v>
      </c>
      <c r="D262" s="5">
        <v>50000</v>
      </c>
      <c r="E262" s="5"/>
      <c r="F262" s="6">
        <f t="shared" si="15"/>
        <v>50000</v>
      </c>
      <c r="G262" s="5">
        <f>50000+500000</f>
        <v>550000</v>
      </c>
      <c r="H262" s="5"/>
      <c r="I262" s="6">
        <f t="shared" si="16"/>
        <v>550000</v>
      </c>
      <c r="M262" s="107"/>
    </row>
    <row r="263" spans="1:9" ht="15">
      <c r="A263" s="15">
        <v>165</v>
      </c>
      <c r="B263" s="15">
        <v>6</v>
      </c>
      <c r="C263" s="26" t="s">
        <v>221</v>
      </c>
      <c r="D263" s="5"/>
      <c r="E263" s="5">
        <v>152000</v>
      </c>
      <c r="F263" s="6">
        <f t="shared" si="15"/>
        <v>152000</v>
      </c>
      <c r="G263" s="5"/>
      <c r="H263" s="5"/>
      <c r="I263" s="6">
        <f t="shared" si="16"/>
        <v>0</v>
      </c>
    </row>
    <row r="264" spans="1:13" ht="15">
      <c r="A264" s="15">
        <v>166</v>
      </c>
      <c r="B264" s="15">
        <v>7</v>
      </c>
      <c r="C264" s="26" t="s">
        <v>222</v>
      </c>
      <c r="D264" s="5"/>
      <c r="E264" s="5"/>
      <c r="F264" s="6">
        <f t="shared" si="15"/>
        <v>0</v>
      </c>
      <c r="G264" s="5">
        <f>200000+125000+1500000</f>
        <v>1825000</v>
      </c>
      <c r="H264" s="5"/>
      <c r="I264" s="6">
        <f t="shared" si="16"/>
        <v>1825000</v>
      </c>
      <c r="K264" s="81"/>
      <c r="L264" s="82"/>
      <c r="M264" s="82"/>
    </row>
    <row r="265" spans="1:9" ht="15">
      <c r="A265" s="15">
        <v>167</v>
      </c>
      <c r="B265" s="15">
        <v>8</v>
      </c>
      <c r="C265" s="26" t="s">
        <v>223</v>
      </c>
      <c r="D265" s="5"/>
      <c r="E265" s="5">
        <v>1000000</v>
      </c>
      <c r="F265" s="6">
        <f t="shared" si="15"/>
        <v>1000000</v>
      </c>
      <c r="G265" s="5"/>
      <c r="H265" s="5"/>
      <c r="I265" s="6">
        <f t="shared" si="16"/>
        <v>0</v>
      </c>
    </row>
    <row r="266" spans="1:13" ht="15">
      <c r="A266" s="15">
        <v>168</v>
      </c>
      <c r="B266" s="15">
        <v>9</v>
      </c>
      <c r="C266" s="26" t="s">
        <v>256</v>
      </c>
      <c r="D266" s="5"/>
      <c r="E266" s="5"/>
      <c r="F266" s="6">
        <f t="shared" si="15"/>
        <v>0</v>
      </c>
      <c r="G266" s="5"/>
      <c r="H266" s="5"/>
      <c r="I266" s="6">
        <f t="shared" si="16"/>
        <v>0</v>
      </c>
      <c r="L266" s="112"/>
      <c r="M266" s="112"/>
    </row>
    <row r="267" spans="1:13" ht="15">
      <c r="A267" s="15">
        <v>169</v>
      </c>
      <c r="B267" s="15">
        <v>10</v>
      </c>
      <c r="C267" s="28" t="s">
        <v>186</v>
      </c>
      <c r="D267" s="5"/>
      <c r="E267" s="5"/>
      <c r="F267" s="6">
        <f>SUM(D267:E267)</f>
        <v>0</v>
      </c>
      <c r="G267" s="5"/>
      <c r="H267" s="5"/>
      <c r="I267" s="6">
        <f>SUM(G267:H267)</f>
        <v>0</v>
      </c>
      <c r="L267" s="16"/>
      <c r="M267" s="16"/>
    </row>
    <row r="268" spans="1:9" ht="15">
      <c r="A268" s="15">
        <v>170</v>
      </c>
      <c r="B268" s="15">
        <v>11</v>
      </c>
      <c r="C268" s="30" t="s">
        <v>185</v>
      </c>
      <c r="D268" s="5">
        <v>220000</v>
      </c>
      <c r="E268" s="5"/>
      <c r="F268" s="6">
        <f aca="true" t="shared" si="17" ref="F268:F287">SUM(D268:E268)</f>
        <v>220000</v>
      </c>
      <c r="G268" s="5">
        <v>220000</v>
      </c>
      <c r="H268" s="5"/>
      <c r="I268" s="6">
        <f aca="true" t="shared" si="18" ref="I268:I287">SUM(G268:H268)</f>
        <v>220000</v>
      </c>
    </row>
    <row r="269" spans="1:13" ht="15">
      <c r="A269" s="15">
        <v>171</v>
      </c>
      <c r="B269" s="15">
        <v>12</v>
      </c>
      <c r="C269" s="32" t="s">
        <v>308</v>
      </c>
      <c r="D269" s="31">
        <v>200000</v>
      </c>
      <c r="E269" s="27"/>
      <c r="F269" s="6">
        <f t="shared" si="17"/>
        <v>200000</v>
      </c>
      <c r="G269" s="31"/>
      <c r="H269" s="27"/>
      <c r="I269" s="6">
        <f t="shared" si="18"/>
        <v>0</v>
      </c>
      <c r="L269" s="16"/>
      <c r="M269" s="16"/>
    </row>
    <row r="270" spans="1:9" ht="15">
      <c r="A270" s="15">
        <v>172</v>
      </c>
      <c r="B270" s="15">
        <v>13</v>
      </c>
      <c r="C270" s="32" t="s">
        <v>309</v>
      </c>
      <c r="D270" s="31">
        <v>80000</v>
      </c>
      <c r="E270" s="27"/>
      <c r="F270" s="6">
        <f t="shared" si="17"/>
        <v>80000</v>
      </c>
      <c r="G270" s="31"/>
      <c r="H270" s="27"/>
      <c r="I270" s="6">
        <f t="shared" si="18"/>
        <v>0</v>
      </c>
    </row>
    <row r="271" spans="1:9" ht="15">
      <c r="A271" s="15">
        <v>173</v>
      </c>
      <c r="B271" s="15">
        <v>14</v>
      </c>
      <c r="C271" s="32" t="s">
        <v>355</v>
      </c>
      <c r="D271" s="31">
        <v>175000</v>
      </c>
      <c r="E271" s="27"/>
      <c r="F271" s="6">
        <f t="shared" si="17"/>
        <v>175000</v>
      </c>
      <c r="G271" s="31">
        <v>175000</v>
      </c>
      <c r="H271" s="27"/>
      <c r="I271" s="6">
        <f t="shared" si="18"/>
        <v>175000</v>
      </c>
    </row>
    <row r="272" spans="1:9" ht="15">
      <c r="A272" s="15">
        <v>174</v>
      </c>
      <c r="B272" s="15">
        <v>15</v>
      </c>
      <c r="C272" s="32" t="s">
        <v>377</v>
      </c>
      <c r="D272" s="31">
        <v>188000</v>
      </c>
      <c r="E272" s="27"/>
      <c r="F272" s="6">
        <f t="shared" si="17"/>
        <v>188000</v>
      </c>
      <c r="G272" s="31">
        <v>187000</v>
      </c>
      <c r="H272" s="27"/>
      <c r="I272" s="91">
        <f t="shared" si="18"/>
        <v>187000</v>
      </c>
    </row>
    <row r="273" spans="1:9" ht="15">
      <c r="A273" s="15">
        <v>175</v>
      </c>
      <c r="B273" s="15">
        <v>16</v>
      </c>
      <c r="C273" s="32" t="s">
        <v>408</v>
      </c>
      <c r="D273" s="31">
        <f>500000+72000</f>
        <v>572000</v>
      </c>
      <c r="E273" s="27"/>
      <c r="F273" s="6">
        <f t="shared" si="17"/>
        <v>572000</v>
      </c>
      <c r="G273" s="31">
        <v>50000</v>
      </c>
      <c r="H273" s="27"/>
      <c r="I273" s="91">
        <f t="shared" si="18"/>
        <v>50000</v>
      </c>
    </row>
    <row r="274" spans="1:9" ht="15">
      <c r="A274" s="15">
        <v>176</v>
      </c>
      <c r="B274" s="15">
        <v>17</v>
      </c>
      <c r="C274" s="32" t="s">
        <v>497</v>
      </c>
      <c r="D274" s="31">
        <v>125000</v>
      </c>
      <c r="E274" s="27"/>
      <c r="F274" s="6">
        <f t="shared" si="17"/>
        <v>125000</v>
      </c>
      <c r="G274" s="31">
        <v>125000</v>
      </c>
      <c r="H274" s="27"/>
      <c r="I274" s="91">
        <f t="shared" si="18"/>
        <v>125000</v>
      </c>
    </row>
    <row r="275" spans="1:9" ht="15">
      <c r="A275" s="15">
        <v>177</v>
      </c>
      <c r="B275" s="15">
        <v>18</v>
      </c>
      <c r="C275" s="32" t="s">
        <v>245</v>
      </c>
      <c r="D275" s="31">
        <v>120000</v>
      </c>
      <c r="E275" s="27"/>
      <c r="F275" s="6">
        <f t="shared" si="17"/>
        <v>120000</v>
      </c>
      <c r="G275" s="31"/>
      <c r="H275" s="27"/>
      <c r="I275" s="91">
        <f t="shared" si="18"/>
        <v>0</v>
      </c>
    </row>
    <row r="276" spans="1:9" ht="15">
      <c r="A276" s="15">
        <v>178</v>
      </c>
      <c r="B276" s="15">
        <v>19</v>
      </c>
      <c r="C276" s="32" t="s">
        <v>519</v>
      </c>
      <c r="D276" s="31">
        <v>100000</v>
      </c>
      <c r="E276" s="27"/>
      <c r="F276" s="6">
        <f t="shared" si="17"/>
        <v>100000</v>
      </c>
      <c r="G276" s="31">
        <v>100000</v>
      </c>
      <c r="H276" s="27"/>
      <c r="I276" s="91">
        <f t="shared" si="18"/>
        <v>100000</v>
      </c>
    </row>
    <row r="277" spans="1:9" ht="15">
      <c r="A277" s="15">
        <v>179</v>
      </c>
      <c r="B277" s="15">
        <v>20</v>
      </c>
      <c r="C277" s="32" t="s">
        <v>520</v>
      </c>
      <c r="D277" s="31"/>
      <c r="E277" s="27">
        <v>11000</v>
      </c>
      <c r="F277" s="6">
        <f t="shared" si="17"/>
        <v>11000</v>
      </c>
      <c r="G277" s="31"/>
      <c r="H277" s="27"/>
      <c r="I277" s="91">
        <f t="shared" si="18"/>
        <v>0</v>
      </c>
    </row>
    <row r="278" spans="1:9" ht="15">
      <c r="A278" s="15">
        <v>180</v>
      </c>
      <c r="B278" s="15">
        <v>21</v>
      </c>
      <c r="C278" s="32" t="s">
        <v>521</v>
      </c>
      <c r="D278" s="31"/>
      <c r="E278" s="27">
        <v>15000</v>
      </c>
      <c r="F278" s="6">
        <f t="shared" si="17"/>
        <v>15000</v>
      </c>
      <c r="G278" s="31"/>
      <c r="H278" s="27"/>
      <c r="I278" s="91">
        <f t="shared" si="18"/>
        <v>0</v>
      </c>
    </row>
    <row r="279" spans="1:9" ht="15">
      <c r="A279" s="15">
        <v>181</v>
      </c>
      <c r="B279" s="15">
        <v>22</v>
      </c>
      <c r="C279" s="32" t="s">
        <v>522</v>
      </c>
      <c r="D279" s="31"/>
      <c r="E279" s="27">
        <v>25000</v>
      </c>
      <c r="F279" s="6">
        <f t="shared" si="17"/>
        <v>25000</v>
      </c>
      <c r="G279" s="31"/>
      <c r="H279" s="27"/>
      <c r="I279" s="91">
        <f t="shared" si="18"/>
        <v>0</v>
      </c>
    </row>
    <row r="280" spans="1:9" ht="15">
      <c r="A280" s="15">
        <v>182</v>
      </c>
      <c r="B280" s="15">
        <v>23</v>
      </c>
      <c r="C280" s="32" t="s">
        <v>523</v>
      </c>
      <c r="D280" s="31"/>
      <c r="E280" s="27">
        <v>25000</v>
      </c>
      <c r="F280" s="6">
        <f t="shared" si="17"/>
        <v>25000</v>
      </c>
      <c r="G280" s="31"/>
      <c r="H280" s="27"/>
      <c r="I280" s="91">
        <f t="shared" si="18"/>
        <v>0</v>
      </c>
    </row>
    <row r="281" spans="1:9" ht="15">
      <c r="A281" s="15">
        <v>183</v>
      </c>
      <c r="B281" s="15">
        <v>24</v>
      </c>
      <c r="C281" s="32" t="s">
        <v>526</v>
      </c>
      <c r="D281" s="31"/>
      <c r="E281" s="27">
        <v>991000</v>
      </c>
      <c r="F281" s="6">
        <f t="shared" si="17"/>
        <v>991000</v>
      </c>
      <c r="G281" s="31"/>
      <c r="H281" s="27"/>
      <c r="I281" s="91">
        <f t="shared" si="18"/>
        <v>0</v>
      </c>
    </row>
    <row r="282" spans="1:9" ht="15">
      <c r="A282" s="15">
        <v>184</v>
      </c>
      <c r="B282" s="15">
        <v>25</v>
      </c>
      <c r="C282" s="32" t="s">
        <v>527</v>
      </c>
      <c r="D282" s="31"/>
      <c r="E282" s="27">
        <v>25000</v>
      </c>
      <c r="F282" s="6">
        <f t="shared" si="17"/>
        <v>25000</v>
      </c>
      <c r="G282" s="31"/>
      <c r="H282" s="27">
        <v>50000</v>
      </c>
      <c r="I282" s="91">
        <f t="shared" si="18"/>
        <v>50000</v>
      </c>
    </row>
    <row r="283" spans="1:9" ht="15">
      <c r="A283" s="15">
        <v>185</v>
      </c>
      <c r="B283" s="15">
        <v>26</v>
      </c>
      <c r="C283" s="32" t="s">
        <v>528</v>
      </c>
      <c r="D283" s="31"/>
      <c r="E283" s="27">
        <v>50000</v>
      </c>
      <c r="F283" s="6">
        <f t="shared" si="17"/>
        <v>50000</v>
      </c>
      <c r="G283" s="31"/>
      <c r="H283" s="27">
        <v>30000</v>
      </c>
      <c r="I283" s="91">
        <f t="shared" si="18"/>
        <v>30000</v>
      </c>
    </row>
    <row r="284" spans="1:9" ht="15">
      <c r="A284" s="15">
        <v>186</v>
      </c>
      <c r="B284" s="15">
        <v>27</v>
      </c>
      <c r="C284" s="32" t="s">
        <v>529</v>
      </c>
      <c r="D284" s="31"/>
      <c r="E284" s="27">
        <v>25000</v>
      </c>
      <c r="F284" s="6">
        <f t="shared" si="17"/>
        <v>25000</v>
      </c>
      <c r="G284" s="31"/>
      <c r="H284" s="27">
        <v>25000</v>
      </c>
      <c r="I284" s="91">
        <f t="shared" si="18"/>
        <v>25000</v>
      </c>
    </row>
    <row r="285" spans="1:9" ht="15">
      <c r="A285" s="15">
        <v>187</v>
      </c>
      <c r="B285" s="15">
        <v>28</v>
      </c>
      <c r="C285" s="32" t="s">
        <v>530</v>
      </c>
      <c r="D285" s="31"/>
      <c r="E285" s="27">
        <v>25000</v>
      </c>
      <c r="F285" s="6">
        <f t="shared" si="17"/>
        <v>25000</v>
      </c>
      <c r="G285" s="31"/>
      <c r="H285" s="27"/>
      <c r="I285" s="91">
        <f t="shared" si="18"/>
        <v>0</v>
      </c>
    </row>
    <row r="286" spans="1:9" ht="15">
      <c r="A286" s="15">
        <v>188</v>
      </c>
      <c r="B286" s="15">
        <v>29</v>
      </c>
      <c r="C286" s="32" t="s">
        <v>573</v>
      </c>
      <c r="D286" s="31"/>
      <c r="E286" s="27"/>
      <c r="F286" s="6">
        <f t="shared" si="17"/>
        <v>0</v>
      </c>
      <c r="G286" s="31">
        <v>1000000</v>
      </c>
      <c r="H286" s="27"/>
      <c r="I286" s="91">
        <f t="shared" si="18"/>
        <v>1000000</v>
      </c>
    </row>
    <row r="287" spans="1:9" ht="15">
      <c r="A287" s="15">
        <v>189</v>
      </c>
      <c r="B287" s="15">
        <v>30</v>
      </c>
      <c r="C287" s="32" t="s">
        <v>576</v>
      </c>
      <c r="D287" s="31"/>
      <c r="E287" s="27"/>
      <c r="F287" s="6">
        <f t="shared" si="17"/>
        <v>0</v>
      </c>
      <c r="G287" s="31"/>
      <c r="H287" s="27">
        <v>723000</v>
      </c>
      <c r="I287" s="91">
        <f t="shared" si="18"/>
        <v>723000</v>
      </c>
    </row>
    <row r="288" spans="1:9" ht="15.75" thickBot="1">
      <c r="A288" s="253" t="s">
        <v>42</v>
      </c>
      <c r="B288" s="254"/>
      <c r="C288" s="255"/>
      <c r="D288" s="33">
        <f>SUM(D258:D287)</f>
        <v>2274250</v>
      </c>
      <c r="E288" s="33">
        <f>SUM(E258:E287)</f>
        <v>4342000</v>
      </c>
      <c r="F288" s="33">
        <f>SUM(D288:E288)</f>
        <v>6616250</v>
      </c>
      <c r="G288" s="33">
        <f>SUM(G258:G287)</f>
        <v>4232000</v>
      </c>
      <c r="H288" s="33">
        <f>SUM(H258:H287)</f>
        <v>29024000</v>
      </c>
      <c r="I288" s="33">
        <f>SUM(G288:H288)</f>
        <v>33256000</v>
      </c>
    </row>
    <row r="289" spans="1:9" ht="16.5" thickBot="1" thickTop="1">
      <c r="A289" s="237" t="s">
        <v>190</v>
      </c>
      <c r="B289" s="238"/>
      <c r="C289" s="238"/>
      <c r="D289" s="34">
        <f>D288++D256+D253+D249+D245+D187+D162+D140+D118+D115+D112+D89+D79+D76+D73</f>
        <v>148016394</v>
      </c>
      <c r="E289" s="34">
        <f>E288++E256+E253+E249+E245+E187+E162+E140+E118+E115+E112+E89+E79+E76+E73</f>
        <v>199013543</v>
      </c>
      <c r="F289" s="34">
        <f>SUM(D289:E289)</f>
        <v>347029937</v>
      </c>
      <c r="G289" s="34">
        <f>G288+G256+G253+G249+G245+G187+G162+G140+G118+G115+G112+G89+G79+G76+G73</f>
        <v>111893000</v>
      </c>
      <c r="H289" s="34">
        <f>H288+H256+H253+H249+H245+H187+H162+H140+H118+H115+H112+H89+H79+H76+H73</f>
        <v>76322269</v>
      </c>
      <c r="I289" s="34">
        <f>SUM(G289:H289)</f>
        <v>188215269</v>
      </c>
    </row>
    <row r="290" spans="1:10" ht="15.75" thickTop="1">
      <c r="A290" s="35"/>
      <c r="B290" s="35"/>
      <c r="C290" s="35"/>
      <c r="D290" s="36"/>
      <c r="E290" s="36"/>
      <c r="F290" s="36"/>
      <c r="G290" s="36"/>
      <c r="H290" s="36"/>
      <c r="I290" s="36"/>
      <c r="J290" s="37"/>
    </row>
    <row r="291" spans="1:9" ht="15">
      <c r="A291" s="39"/>
      <c r="B291" s="39"/>
      <c r="C291" s="39"/>
      <c r="D291" s="38"/>
      <c r="E291" s="38"/>
      <c r="F291" s="240" t="s">
        <v>571</v>
      </c>
      <c r="G291" s="240"/>
      <c r="H291" s="240"/>
      <c r="I291" s="240"/>
    </row>
    <row r="292" spans="1:9" ht="15">
      <c r="A292" s="39"/>
      <c r="B292" s="39"/>
      <c r="C292" s="38" t="s">
        <v>199</v>
      </c>
      <c r="D292" s="38"/>
      <c r="E292" s="38"/>
      <c r="F292" s="240" t="s">
        <v>349</v>
      </c>
      <c r="G292" s="240"/>
      <c r="H292" s="240"/>
      <c r="I292" s="240"/>
    </row>
    <row r="293" spans="1:8" ht="15">
      <c r="A293" s="39"/>
      <c r="B293" s="39"/>
      <c r="C293" s="39"/>
      <c r="D293" s="39"/>
      <c r="E293" s="39"/>
      <c r="G293" s="39"/>
      <c r="H293" s="39"/>
    </row>
    <row r="294" spans="1:8" ht="15">
      <c r="A294" s="39"/>
      <c r="B294" s="61"/>
      <c r="C294" s="272" t="s">
        <v>866</v>
      </c>
      <c r="D294" s="39"/>
      <c r="E294" s="39"/>
      <c r="G294" s="270" t="s">
        <v>866</v>
      </c>
      <c r="H294" s="39"/>
    </row>
    <row r="295" spans="1:9" ht="15">
      <c r="A295" s="39"/>
      <c r="B295" s="61"/>
      <c r="C295" s="38" t="s">
        <v>269</v>
      </c>
      <c r="D295" s="62"/>
      <c r="E295" s="62"/>
      <c r="F295" s="240" t="s">
        <v>350</v>
      </c>
      <c r="G295" s="240"/>
      <c r="H295" s="240"/>
      <c r="I295" s="240"/>
    </row>
    <row r="296" spans="1:12" ht="15">
      <c r="A296" s="35"/>
      <c r="B296" s="35"/>
      <c r="C296" s="35"/>
      <c r="D296" s="36"/>
      <c r="E296" s="36"/>
      <c r="F296" s="36"/>
      <c r="G296" s="36"/>
      <c r="H296" s="36"/>
      <c r="I296" s="36"/>
      <c r="J296" s="37"/>
      <c r="L296" s="16"/>
    </row>
    <row r="297" spans="1:9" ht="15">
      <c r="A297" s="240" t="s">
        <v>191</v>
      </c>
      <c r="B297" s="240"/>
      <c r="C297" s="240"/>
      <c r="D297" s="240"/>
      <c r="E297" s="240"/>
      <c r="F297" s="240"/>
      <c r="G297" s="240"/>
      <c r="H297" s="240"/>
      <c r="I297" s="240"/>
    </row>
    <row r="298" spans="1:9" ht="15">
      <c r="A298" s="240" t="s">
        <v>572</v>
      </c>
      <c r="B298" s="240"/>
      <c r="C298" s="240"/>
      <c r="D298" s="240"/>
      <c r="E298" s="240"/>
      <c r="F298" s="240"/>
      <c r="G298" s="240"/>
      <c r="H298" s="240"/>
      <c r="I298" s="240"/>
    </row>
    <row r="299" spans="1:9" ht="15">
      <c r="A299" s="38" t="s">
        <v>192</v>
      </c>
      <c r="B299" s="72" t="s">
        <v>195</v>
      </c>
      <c r="C299" s="38"/>
      <c r="D299" s="38"/>
      <c r="E299" s="38"/>
      <c r="F299" s="38"/>
      <c r="G299" s="38"/>
      <c r="H299" s="38"/>
      <c r="I299" s="38"/>
    </row>
    <row r="300" spans="1:9" ht="15">
      <c r="A300" s="40"/>
      <c r="B300" s="243" t="s">
        <v>2</v>
      </c>
      <c r="C300" s="247" t="s">
        <v>193</v>
      </c>
      <c r="D300" s="248"/>
      <c r="E300" s="248"/>
      <c r="F300" s="248"/>
      <c r="G300" s="248"/>
      <c r="H300" s="249"/>
      <c r="I300" s="85" t="s">
        <v>42</v>
      </c>
    </row>
    <row r="301" spans="1:9" ht="15">
      <c r="A301" s="39"/>
      <c r="B301" s="244"/>
      <c r="C301" s="250"/>
      <c r="D301" s="251"/>
      <c r="E301" s="251"/>
      <c r="F301" s="251"/>
      <c r="G301" s="251"/>
      <c r="H301" s="252"/>
      <c r="I301" s="84" t="s">
        <v>194</v>
      </c>
    </row>
    <row r="302" spans="1:9" ht="15">
      <c r="A302" s="39"/>
      <c r="B302" s="70">
        <v>1</v>
      </c>
      <c r="C302" s="45" t="s">
        <v>339</v>
      </c>
      <c r="D302" s="60"/>
      <c r="E302" s="60"/>
      <c r="F302" s="69"/>
      <c r="G302" s="60"/>
      <c r="H302" s="60"/>
      <c r="I302" s="59"/>
    </row>
    <row r="303" spans="1:9" ht="15">
      <c r="A303" s="39"/>
      <c r="B303" s="70"/>
      <c r="C303" s="45" t="s">
        <v>578</v>
      </c>
      <c r="D303" s="60"/>
      <c r="E303" s="60"/>
      <c r="F303" s="69"/>
      <c r="G303" s="60"/>
      <c r="H303" s="60"/>
      <c r="I303" s="99">
        <v>6565900</v>
      </c>
    </row>
    <row r="304" spans="1:9" ht="15">
      <c r="A304" s="39"/>
      <c r="B304" s="70">
        <v>2</v>
      </c>
      <c r="C304" s="45" t="s">
        <v>580</v>
      </c>
      <c r="D304" s="60"/>
      <c r="E304" s="60"/>
      <c r="F304" s="69"/>
      <c r="G304" s="60"/>
      <c r="H304" s="60"/>
      <c r="I304" s="99"/>
    </row>
    <row r="305" spans="1:9" ht="15">
      <c r="A305" s="39"/>
      <c r="B305" s="70"/>
      <c r="C305" s="45" t="s">
        <v>581</v>
      </c>
      <c r="D305" s="60"/>
      <c r="E305" s="60"/>
      <c r="F305" s="69"/>
      <c r="G305" s="60"/>
      <c r="H305" s="60"/>
      <c r="I305" s="99">
        <f>297000000-6000000</f>
        <v>291000000</v>
      </c>
    </row>
    <row r="306" spans="1:9" ht="15">
      <c r="A306" s="39"/>
      <c r="B306" s="41">
        <v>3</v>
      </c>
      <c r="C306" s="45" t="s">
        <v>279</v>
      </c>
      <c r="D306" s="42"/>
      <c r="E306" s="42"/>
      <c r="F306" s="63"/>
      <c r="G306" s="42"/>
      <c r="H306" s="42"/>
      <c r="I306" s="92"/>
    </row>
    <row r="307" spans="1:9" ht="15">
      <c r="A307" s="39"/>
      <c r="B307" s="41"/>
      <c r="C307" s="45" t="s">
        <v>588</v>
      </c>
      <c r="D307" s="42"/>
      <c r="E307" s="42"/>
      <c r="F307" s="63"/>
      <c r="G307" s="42"/>
      <c r="H307" s="42"/>
      <c r="I307" s="92">
        <v>10000000</v>
      </c>
    </row>
    <row r="308" spans="1:9" ht="15">
      <c r="A308" s="39"/>
      <c r="B308" s="70"/>
      <c r="C308" s="45" t="s">
        <v>590</v>
      </c>
      <c r="D308" s="42"/>
      <c r="E308" s="42"/>
      <c r="F308" s="63"/>
      <c r="G308" s="42"/>
      <c r="H308" s="42"/>
      <c r="I308" s="92">
        <v>1000000</v>
      </c>
    </row>
    <row r="309" spans="1:9" ht="15">
      <c r="A309" s="39"/>
      <c r="B309" s="70"/>
      <c r="C309" s="45" t="s">
        <v>589</v>
      </c>
      <c r="D309" s="42"/>
      <c r="E309" s="42"/>
      <c r="F309" s="63"/>
      <c r="G309" s="42"/>
      <c r="H309" s="42"/>
      <c r="I309" s="92">
        <v>1000000</v>
      </c>
    </row>
    <row r="310" spans="1:9" ht="15">
      <c r="A310" s="39"/>
      <c r="B310" s="70"/>
      <c r="C310" s="45" t="s">
        <v>591</v>
      </c>
      <c r="D310" s="42"/>
      <c r="E310" s="42"/>
      <c r="F310" s="63"/>
      <c r="G310" s="42"/>
      <c r="H310" s="42"/>
      <c r="I310" s="92">
        <v>1000000</v>
      </c>
    </row>
    <row r="311" spans="1:9" ht="15">
      <c r="A311" s="39"/>
      <c r="B311" s="70">
        <v>4</v>
      </c>
      <c r="C311" s="45" t="s">
        <v>587</v>
      </c>
      <c r="D311" s="60"/>
      <c r="E311" s="60"/>
      <c r="F311" s="69"/>
      <c r="G311" s="60"/>
      <c r="H311" s="60"/>
      <c r="I311" s="99">
        <f>2500000-47000</f>
        <v>2453000</v>
      </c>
    </row>
    <row r="312" spans="1:9" ht="15">
      <c r="A312" s="39"/>
      <c r="B312" s="70">
        <v>5</v>
      </c>
      <c r="C312" s="45" t="s">
        <v>429</v>
      </c>
      <c r="D312" s="60"/>
      <c r="E312" s="60"/>
      <c r="F312" s="69"/>
      <c r="G312" s="60"/>
      <c r="H312" s="60"/>
      <c r="I312" s="99"/>
    </row>
    <row r="313" spans="1:9" ht="15">
      <c r="A313" s="39"/>
      <c r="B313" s="70"/>
      <c r="C313" s="45" t="s">
        <v>715</v>
      </c>
      <c r="D313" s="60"/>
      <c r="E313" s="60"/>
      <c r="F313" s="69"/>
      <c r="G313" s="60"/>
      <c r="H313" s="60"/>
      <c r="I313" s="99">
        <v>5000000</v>
      </c>
    </row>
    <row r="314" spans="1:10" ht="15">
      <c r="A314" s="39"/>
      <c r="B314" s="70">
        <v>6</v>
      </c>
      <c r="C314" s="103" t="s">
        <v>504</v>
      </c>
      <c r="D314" s="60"/>
      <c r="E314" s="60"/>
      <c r="F314" s="69"/>
      <c r="G314" s="60"/>
      <c r="H314" s="60"/>
      <c r="I314" s="99"/>
      <c r="J314" s="88"/>
    </row>
    <row r="315" spans="1:11" ht="15">
      <c r="A315" s="39"/>
      <c r="B315" s="70"/>
      <c r="C315" s="45" t="s">
        <v>715</v>
      </c>
      <c r="D315" s="60"/>
      <c r="E315" s="60"/>
      <c r="F315" s="69"/>
      <c r="G315" s="60"/>
      <c r="H315" s="60"/>
      <c r="I315" s="99">
        <v>1000000</v>
      </c>
      <c r="J315" s="88"/>
      <c r="K315" s="88"/>
    </row>
    <row r="316" spans="1:11" ht="15">
      <c r="A316" s="39"/>
      <c r="B316" s="41">
        <v>7</v>
      </c>
      <c r="C316" s="55" t="s">
        <v>360</v>
      </c>
      <c r="D316" s="52"/>
      <c r="E316" s="52"/>
      <c r="F316" s="63"/>
      <c r="G316" s="52"/>
      <c r="H316" s="53"/>
      <c r="I316" s="92">
        <v>400000</v>
      </c>
      <c r="K316" t="s">
        <v>198</v>
      </c>
    </row>
    <row r="317" spans="1:9" ht="15">
      <c r="A317" s="56"/>
      <c r="B317" s="241" t="s">
        <v>5</v>
      </c>
      <c r="C317" s="245"/>
      <c r="D317" s="245"/>
      <c r="E317" s="245"/>
      <c r="F317" s="66"/>
      <c r="G317" s="66"/>
      <c r="H317" s="67"/>
      <c r="I317" s="57">
        <f>SUM(I302:I316)</f>
        <v>319418900</v>
      </c>
    </row>
    <row r="318" spans="1:9" ht="15">
      <c r="A318" s="58"/>
      <c r="B318" s="58"/>
      <c r="C318" s="58"/>
      <c r="D318" s="58"/>
      <c r="E318" s="58"/>
      <c r="F318" s="58"/>
      <c r="G318" s="73"/>
      <c r="H318" s="73"/>
      <c r="I318" s="58"/>
    </row>
    <row r="319" spans="1:9" ht="15">
      <c r="A319" s="74" t="s">
        <v>196</v>
      </c>
      <c r="B319" s="75" t="s">
        <v>197</v>
      </c>
      <c r="C319" s="75"/>
      <c r="D319" s="58"/>
      <c r="E319" s="58"/>
      <c r="F319" s="58"/>
      <c r="G319" s="58"/>
      <c r="H319" s="58"/>
      <c r="I319" s="58"/>
    </row>
    <row r="320" spans="1:9" ht="15">
      <c r="A320" s="40"/>
      <c r="B320" s="243" t="s">
        <v>2</v>
      </c>
      <c r="C320" s="248" t="s">
        <v>193</v>
      </c>
      <c r="D320" s="248"/>
      <c r="E320" s="248"/>
      <c r="F320" s="248"/>
      <c r="G320" s="248"/>
      <c r="H320" s="249"/>
      <c r="I320" s="85" t="s">
        <v>42</v>
      </c>
    </row>
    <row r="321" spans="1:9" ht="15">
      <c r="A321" s="58"/>
      <c r="B321" s="244"/>
      <c r="C321" s="251"/>
      <c r="D321" s="251"/>
      <c r="E321" s="251"/>
      <c r="F321" s="251"/>
      <c r="G321" s="251"/>
      <c r="H321" s="252"/>
      <c r="I321" s="84" t="s">
        <v>194</v>
      </c>
    </row>
    <row r="322" spans="1:9" ht="15">
      <c r="A322" s="58"/>
      <c r="B322" s="70">
        <v>1</v>
      </c>
      <c r="C322" s="45" t="s">
        <v>592</v>
      </c>
      <c r="D322" s="42"/>
      <c r="E322" s="42"/>
      <c r="F322" s="69"/>
      <c r="G322" s="42"/>
      <c r="H322" s="42"/>
      <c r="I322" s="99"/>
    </row>
    <row r="323" spans="1:10" ht="15">
      <c r="A323" s="58"/>
      <c r="B323" s="70"/>
      <c r="C323" s="45" t="s">
        <v>579</v>
      </c>
      <c r="D323" s="42"/>
      <c r="E323" s="42"/>
      <c r="F323" s="69"/>
      <c r="G323" s="42"/>
      <c r="H323" s="42"/>
      <c r="I323" s="106">
        <v>1875784</v>
      </c>
      <c r="J323" s="88"/>
    </row>
    <row r="324" spans="1:10" ht="15">
      <c r="A324" s="58"/>
      <c r="B324" s="70"/>
      <c r="C324" s="45" t="s">
        <v>362</v>
      </c>
      <c r="D324" s="42"/>
      <c r="E324" s="42"/>
      <c r="F324" s="69"/>
      <c r="G324" s="42"/>
      <c r="H324" s="42"/>
      <c r="I324" s="99">
        <v>406800</v>
      </c>
      <c r="J324" s="88"/>
    </row>
    <row r="325" spans="1:10" ht="15">
      <c r="A325" s="58"/>
      <c r="B325" s="70"/>
      <c r="C325" s="45" t="s">
        <v>593</v>
      </c>
      <c r="D325" s="42"/>
      <c r="E325" s="42"/>
      <c r="F325" s="69"/>
      <c r="G325" s="42"/>
      <c r="H325" s="42"/>
      <c r="I325" s="99">
        <v>976500</v>
      </c>
      <c r="J325" s="88"/>
    </row>
    <row r="326" spans="1:10" ht="15">
      <c r="A326" s="58"/>
      <c r="B326" s="70">
        <v>2</v>
      </c>
      <c r="C326" s="45" t="s">
        <v>539</v>
      </c>
      <c r="D326" s="60"/>
      <c r="E326" s="60"/>
      <c r="F326" s="69"/>
      <c r="G326" s="60"/>
      <c r="H326" s="60"/>
      <c r="I326" s="99"/>
      <c r="J326" s="88"/>
    </row>
    <row r="327" spans="1:10" ht="15">
      <c r="A327" s="58"/>
      <c r="B327" s="70"/>
      <c r="C327" s="45" t="s">
        <v>582</v>
      </c>
      <c r="D327" s="60"/>
      <c r="E327" s="60"/>
      <c r="F327" s="69"/>
      <c r="G327" s="60"/>
      <c r="H327" s="60"/>
      <c r="I327" s="99">
        <f>1990000-265000</f>
        <v>1725000</v>
      </c>
      <c r="J327" s="88"/>
    </row>
    <row r="328" spans="1:10" ht="15">
      <c r="A328" s="58"/>
      <c r="B328" s="70"/>
      <c r="C328" s="45" t="s">
        <v>583</v>
      </c>
      <c r="D328" s="60"/>
      <c r="E328" s="60"/>
      <c r="F328" s="69"/>
      <c r="G328" s="60"/>
      <c r="H328" s="60"/>
      <c r="I328" s="99">
        <v>6166000</v>
      </c>
      <c r="J328" s="88"/>
    </row>
    <row r="329" spans="1:10" ht="15">
      <c r="A329" s="58"/>
      <c r="B329" s="70"/>
      <c r="C329" s="45" t="s">
        <v>584</v>
      </c>
      <c r="D329" s="60"/>
      <c r="E329" s="60"/>
      <c r="F329" s="69"/>
      <c r="G329" s="60"/>
      <c r="H329" s="60"/>
      <c r="I329" s="99">
        <v>13500000</v>
      </c>
      <c r="J329" s="88"/>
    </row>
    <row r="330" spans="1:10" ht="15">
      <c r="A330" s="58"/>
      <c r="B330" s="70"/>
      <c r="C330" s="45" t="s">
        <v>594</v>
      </c>
      <c r="D330" s="42"/>
      <c r="E330" s="42"/>
      <c r="F330" s="69"/>
      <c r="G330" s="42"/>
      <c r="H330" s="42"/>
      <c r="I330" s="99">
        <v>1500000</v>
      </c>
      <c r="J330" s="88"/>
    </row>
    <row r="331" spans="1:10" ht="15">
      <c r="A331" s="58"/>
      <c r="B331" s="70"/>
      <c r="C331" s="45" t="s">
        <v>597</v>
      </c>
      <c r="D331" s="42"/>
      <c r="E331" s="42"/>
      <c r="F331" s="69"/>
      <c r="G331" s="42"/>
      <c r="H331" s="42"/>
      <c r="I331" s="99">
        <f>500000+400000</f>
        <v>900000</v>
      </c>
      <c r="J331" s="88"/>
    </row>
    <row r="332" spans="1:10" ht="15">
      <c r="A332" s="58"/>
      <c r="B332" s="70"/>
      <c r="C332" s="45" t="s">
        <v>598</v>
      </c>
      <c r="D332" s="42"/>
      <c r="E332" s="42"/>
      <c r="F332" s="69"/>
      <c r="G332" s="42"/>
      <c r="H332" s="42"/>
      <c r="I332" s="99">
        <f>600000+250000+726000</f>
        <v>1576000</v>
      </c>
      <c r="J332" s="88"/>
    </row>
    <row r="333" spans="1:11" ht="15">
      <c r="A333" s="58"/>
      <c r="B333" s="70"/>
      <c r="C333" s="45" t="s">
        <v>612</v>
      </c>
      <c r="D333" s="42"/>
      <c r="E333" s="42"/>
      <c r="F333" s="69"/>
      <c r="G333" s="42"/>
      <c r="H333" s="42"/>
      <c r="I333" s="99">
        <v>650000</v>
      </c>
      <c r="J333" s="88"/>
      <c r="K333" t="s">
        <v>198</v>
      </c>
    </row>
    <row r="334" spans="1:10" ht="15">
      <c r="A334" s="58"/>
      <c r="B334" s="70">
        <v>3</v>
      </c>
      <c r="C334" s="45" t="s">
        <v>884</v>
      </c>
      <c r="D334" s="60"/>
      <c r="E334" s="60"/>
      <c r="F334" s="69"/>
      <c r="G334" s="60"/>
      <c r="H334" s="60"/>
      <c r="I334" s="99">
        <v>9900000</v>
      </c>
      <c r="J334" s="88"/>
    </row>
    <row r="335" spans="1:10" ht="15">
      <c r="A335" s="58"/>
      <c r="B335" s="70">
        <v>4</v>
      </c>
      <c r="C335" s="45" t="s">
        <v>390</v>
      </c>
      <c r="D335" s="60"/>
      <c r="E335" s="60"/>
      <c r="F335" s="69"/>
      <c r="G335" s="60"/>
      <c r="H335" s="60"/>
      <c r="I335" s="99"/>
      <c r="J335" s="88"/>
    </row>
    <row r="336" spans="1:10" ht="15">
      <c r="A336" s="58"/>
      <c r="B336" s="70"/>
      <c r="C336" s="45" t="s">
        <v>585</v>
      </c>
      <c r="D336" s="60"/>
      <c r="E336" s="60"/>
      <c r="F336" s="69"/>
      <c r="G336" s="60"/>
      <c r="H336" s="60"/>
      <c r="I336" s="99">
        <v>500000</v>
      </c>
      <c r="J336" s="88"/>
    </row>
    <row r="337" spans="1:10" ht="15">
      <c r="A337" s="58"/>
      <c r="B337" s="70"/>
      <c r="C337" s="45" t="s">
        <v>586</v>
      </c>
      <c r="D337" s="60"/>
      <c r="E337" s="60"/>
      <c r="F337" s="69"/>
      <c r="G337" s="60"/>
      <c r="H337" s="60"/>
      <c r="I337" s="99">
        <v>1000000</v>
      </c>
      <c r="J337" s="88"/>
    </row>
    <row r="338" spans="1:10" ht="15">
      <c r="A338" s="58"/>
      <c r="B338" s="70">
        <v>5</v>
      </c>
      <c r="C338" s="45" t="s">
        <v>509</v>
      </c>
      <c r="D338" s="60"/>
      <c r="E338" s="60"/>
      <c r="F338" s="69"/>
      <c r="G338" s="60"/>
      <c r="H338" s="60"/>
      <c r="I338" s="99"/>
      <c r="J338" s="88"/>
    </row>
    <row r="339" spans="1:10" ht="15">
      <c r="A339" s="58"/>
      <c r="B339" s="70"/>
      <c r="C339" s="45" t="s">
        <v>326</v>
      </c>
      <c r="D339" s="60"/>
      <c r="E339" s="60"/>
      <c r="F339" s="69"/>
      <c r="G339" s="60"/>
      <c r="H339" s="60"/>
      <c r="I339" s="99">
        <v>460000</v>
      </c>
      <c r="J339" s="88"/>
    </row>
    <row r="340" spans="1:10" ht="15">
      <c r="A340" s="58"/>
      <c r="B340" s="70"/>
      <c r="C340" s="45" t="s">
        <v>602</v>
      </c>
      <c r="D340" s="60"/>
      <c r="E340" s="60"/>
      <c r="F340" s="69"/>
      <c r="G340" s="60"/>
      <c r="H340" s="60"/>
      <c r="I340" s="99">
        <v>35000</v>
      </c>
      <c r="J340" s="88"/>
    </row>
    <row r="341" spans="1:10" ht="15">
      <c r="A341" s="58"/>
      <c r="B341" s="70">
        <v>6</v>
      </c>
      <c r="C341" s="45" t="s">
        <v>595</v>
      </c>
      <c r="D341" s="60"/>
      <c r="E341" s="60"/>
      <c r="F341" s="69"/>
      <c r="G341" s="60"/>
      <c r="H341" s="60"/>
      <c r="I341" s="99"/>
      <c r="J341" s="88"/>
    </row>
    <row r="342" spans="1:10" ht="15">
      <c r="A342" s="58"/>
      <c r="B342" s="70"/>
      <c r="C342" s="45" t="s">
        <v>596</v>
      </c>
      <c r="D342" s="60"/>
      <c r="E342" s="60"/>
      <c r="F342" s="69"/>
      <c r="G342" s="60"/>
      <c r="H342" s="60"/>
      <c r="I342" s="99">
        <v>2671000</v>
      </c>
      <c r="J342" s="88"/>
    </row>
    <row r="343" spans="1:10" ht="15">
      <c r="A343" s="58"/>
      <c r="B343" s="70">
        <v>7</v>
      </c>
      <c r="C343" s="45" t="s">
        <v>599</v>
      </c>
      <c r="D343" s="60"/>
      <c r="E343" s="60"/>
      <c r="F343" s="69"/>
      <c r="G343" s="60"/>
      <c r="H343" s="60"/>
      <c r="I343" s="99"/>
      <c r="J343" s="88"/>
    </row>
    <row r="344" spans="1:10" ht="15">
      <c r="A344" s="58"/>
      <c r="B344" s="70"/>
      <c r="C344" s="45" t="s">
        <v>600</v>
      </c>
      <c r="D344" s="60"/>
      <c r="E344" s="60"/>
      <c r="F344" s="69"/>
      <c r="G344" s="60"/>
      <c r="H344" s="60"/>
      <c r="I344" s="99">
        <f>700000+600000</f>
        <v>1300000</v>
      </c>
      <c r="J344" s="88"/>
    </row>
    <row r="345" spans="1:10" ht="15">
      <c r="A345" s="58"/>
      <c r="B345" s="70"/>
      <c r="C345" s="45" t="s">
        <v>601</v>
      </c>
      <c r="D345" s="60"/>
      <c r="E345" s="60"/>
      <c r="F345" s="69"/>
      <c r="G345" s="60"/>
      <c r="H345" s="60"/>
      <c r="I345" s="99">
        <v>1500000</v>
      </c>
      <c r="J345" s="88"/>
    </row>
    <row r="346" spans="1:9" ht="15">
      <c r="A346" s="56"/>
      <c r="B346" s="241" t="s">
        <v>5</v>
      </c>
      <c r="C346" s="245"/>
      <c r="D346" s="245"/>
      <c r="E346" s="245"/>
      <c r="F346" s="65"/>
      <c r="G346" s="65"/>
      <c r="H346" s="71"/>
      <c r="I346" s="57">
        <f>SUM(I322:I345)</f>
        <v>46642084</v>
      </c>
    </row>
    <row r="347" spans="1:9" ht="15">
      <c r="A347" s="39"/>
      <c r="B347" s="39"/>
      <c r="C347" s="39"/>
      <c r="D347" s="39"/>
      <c r="E347" s="39"/>
      <c r="F347" s="39" t="s">
        <v>198</v>
      </c>
      <c r="G347" s="39"/>
      <c r="H347" s="39"/>
      <c r="I347" s="39" t="s">
        <v>198</v>
      </c>
    </row>
    <row r="348" spans="1:9" ht="15">
      <c r="A348" s="39"/>
      <c r="B348" s="39"/>
      <c r="C348" s="39"/>
      <c r="D348" s="38"/>
      <c r="E348" s="38"/>
      <c r="F348" s="240" t="s">
        <v>571</v>
      </c>
      <c r="G348" s="240"/>
      <c r="H348" s="240"/>
      <c r="I348" s="240"/>
    </row>
    <row r="349" spans="1:9" ht="15">
      <c r="A349" s="39"/>
      <c r="B349" s="39"/>
      <c r="C349" s="38" t="s">
        <v>199</v>
      </c>
      <c r="D349" s="38"/>
      <c r="E349" s="38"/>
      <c r="F349" s="240" t="s">
        <v>696</v>
      </c>
      <c r="G349" s="240"/>
      <c r="H349" s="240"/>
      <c r="I349" s="240"/>
    </row>
    <row r="350" spans="1:8" ht="15">
      <c r="A350" s="39"/>
      <c r="B350" s="39"/>
      <c r="C350" s="39"/>
      <c r="D350" s="39"/>
      <c r="E350" s="39"/>
      <c r="G350" s="39"/>
      <c r="H350" s="39"/>
    </row>
    <row r="351" spans="1:8" ht="15">
      <c r="A351" s="39"/>
      <c r="B351" s="61"/>
      <c r="C351" s="272" t="s">
        <v>866</v>
      </c>
      <c r="D351" s="39"/>
      <c r="E351" s="39"/>
      <c r="G351" s="270" t="s">
        <v>866</v>
      </c>
      <c r="H351" s="39"/>
    </row>
    <row r="352" spans="1:9" ht="15">
      <c r="A352" s="39"/>
      <c r="B352" s="61"/>
      <c r="C352" s="38" t="s">
        <v>269</v>
      </c>
      <c r="D352" s="62"/>
      <c r="E352" s="62"/>
      <c r="F352" s="240" t="s">
        <v>351</v>
      </c>
      <c r="G352" s="240"/>
      <c r="H352" s="240"/>
      <c r="I352" s="240"/>
    </row>
    <row r="353" spans="6:9" ht="15">
      <c r="F353" s="240"/>
      <c r="G353" s="240"/>
      <c r="H353" s="240"/>
      <c r="I353" s="240"/>
    </row>
    <row r="354" spans="6:9" ht="15">
      <c r="F354" s="240"/>
      <c r="G354" s="240"/>
      <c r="H354" s="240"/>
      <c r="I354" s="240"/>
    </row>
  </sheetData>
  <sheetProtection/>
  <mergeCells count="76">
    <mergeCell ref="E54:F54"/>
    <mergeCell ref="F352:I352"/>
    <mergeCell ref="F353:I353"/>
    <mergeCell ref="F354:I354"/>
    <mergeCell ref="A298:I298"/>
    <mergeCell ref="B300:B301"/>
    <mergeCell ref="C300:H301"/>
    <mergeCell ref="B317:E317"/>
    <mergeCell ref="B320:B321"/>
    <mergeCell ref="C320:H321"/>
    <mergeCell ref="B346:E346"/>
    <mergeCell ref="F348:I348"/>
    <mergeCell ref="F349:I349"/>
    <mergeCell ref="A257:I257"/>
    <mergeCell ref="A288:C288"/>
    <mergeCell ref="A289:C289"/>
    <mergeCell ref="F291:I291"/>
    <mergeCell ref="F292:I292"/>
    <mergeCell ref="F295:I295"/>
    <mergeCell ref="A163:I163"/>
    <mergeCell ref="A187:C187"/>
    <mergeCell ref="A188:I188"/>
    <mergeCell ref="A245:C245"/>
    <mergeCell ref="A297:I297"/>
    <mergeCell ref="A249:C249"/>
    <mergeCell ref="A250:I250"/>
    <mergeCell ref="A253:C253"/>
    <mergeCell ref="A254:I254"/>
    <mergeCell ref="A256:C256"/>
    <mergeCell ref="A90:I90"/>
    <mergeCell ref="A112:C112"/>
    <mergeCell ref="A246:I246"/>
    <mergeCell ref="A115:C115"/>
    <mergeCell ref="A116:I116"/>
    <mergeCell ref="A118:C118"/>
    <mergeCell ref="A119:I119"/>
    <mergeCell ref="A140:C140"/>
    <mergeCell ref="A141:I141"/>
    <mergeCell ref="A162:C162"/>
    <mergeCell ref="A113:I113"/>
    <mergeCell ref="G68:H68"/>
    <mergeCell ref="A70:I70"/>
    <mergeCell ref="A73:C73"/>
    <mergeCell ref="A74:I74"/>
    <mergeCell ref="A76:C76"/>
    <mergeCell ref="A77:I77"/>
    <mergeCell ref="A79:C79"/>
    <mergeCell ref="A80:I80"/>
    <mergeCell ref="A89:C89"/>
    <mergeCell ref="A63:I63"/>
    <mergeCell ref="A64:I64"/>
    <mergeCell ref="A65:I65"/>
    <mergeCell ref="A67:A69"/>
    <mergeCell ref="B67:C69"/>
    <mergeCell ref="D67:E67"/>
    <mergeCell ref="F67:F69"/>
    <mergeCell ref="G67:H67"/>
    <mergeCell ref="I67:I69"/>
    <mergeCell ref="D68:E68"/>
    <mergeCell ref="F25:F26"/>
    <mergeCell ref="A1:F1"/>
    <mergeCell ref="A2:F2"/>
    <mergeCell ref="A3:F3"/>
    <mergeCell ref="A4:F4"/>
    <mergeCell ref="A5:F5"/>
    <mergeCell ref="E7:F7"/>
    <mergeCell ref="E52:F52"/>
    <mergeCell ref="E55:F55"/>
    <mergeCell ref="A8:B8"/>
    <mergeCell ref="A9:B9"/>
    <mergeCell ref="A10:B10"/>
    <mergeCell ref="E24:F24"/>
    <mergeCell ref="B25:B26"/>
    <mergeCell ref="C25:C26"/>
    <mergeCell ref="D25:D26"/>
    <mergeCell ref="E25:E26"/>
  </mergeCells>
  <printOptions/>
  <pageMargins left="0.25" right="0.25" top="0.52" bottom="1.24" header="0.3" footer="0.3"/>
  <pageSetup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</dc:creator>
  <cp:keywords/>
  <dc:description/>
  <cp:lastModifiedBy>ismail - [2010]</cp:lastModifiedBy>
  <cp:lastPrinted>2018-01-22T02:40:10Z</cp:lastPrinted>
  <dcterms:created xsi:type="dcterms:W3CDTF">2017-02-07T02:19:12Z</dcterms:created>
  <dcterms:modified xsi:type="dcterms:W3CDTF">2018-03-22T08:44:03Z</dcterms:modified>
  <cp:category/>
  <cp:version/>
  <cp:contentType/>
  <cp:contentStatus/>
</cp:coreProperties>
</file>