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docProps/core.xml" ContentType="application/vnd.openxmlformats-package.core-properties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 activeTab="11"/>
  </bookViews>
  <sheets>
    <sheet name="Januari" sheetId="1" r:id="rId1"/>
    <sheet name="februari" sheetId="2" r:id="rId2"/>
    <sheet name="maret" sheetId="3" r:id="rId3"/>
    <sheet name="april" sheetId="4" r:id="rId4"/>
    <sheet name="mei" sheetId="5" r:id="rId5"/>
    <sheet name="juni" sheetId="6" r:id="rId6"/>
    <sheet name="juli" sheetId="7" r:id="rId7"/>
    <sheet name="agustus" sheetId="8" r:id="rId8"/>
    <sheet name="septembr" sheetId="9" r:id="rId9"/>
    <sheet name="OKTOBR" sheetId="10" r:id="rId10"/>
    <sheet name="Novembr" sheetId="11" r:id="rId11"/>
    <sheet name="Desembr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24519"/>
</workbook>
</file>

<file path=xl/calcChain.xml><?xml version="1.0" encoding="utf-8"?>
<calcChain xmlns="http://schemas.openxmlformats.org/spreadsheetml/2006/main">
  <c r="I331" i="12"/>
  <c r="I330"/>
  <c r="I329"/>
  <c r="I328"/>
  <c r="I326"/>
  <c r="I325"/>
  <c r="I323"/>
  <c r="I321"/>
  <c r="I320"/>
  <c r="I319"/>
  <c r="I318"/>
  <c r="I317"/>
  <c r="I332" s="1"/>
  <c r="I310"/>
  <c r="I309"/>
  <c r="I308"/>
  <c r="I307"/>
  <c r="I306"/>
  <c r="I305"/>
  <c r="I304"/>
  <c r="I303"/>
  <c r="I302"/>
  <c r="I301"/>
  <c r="I300"/>
  <c r="I299"/>
  <c r="I311" s="1"/>
  <c r="H289"/>
  <c r="I288"/>
  <c r="F288"/>
  <c r="I287"/>
  <c r="F287"/>
  <c r="I286"/>
  <c r="F286"/>
  <c r="I285"/>
  <c r="F285"/>
  <c r="I284"/>
  <c r="F284"/>
  <c r="I283"/>
  <c r="F283"/>
  <c r="I282"/>
  <c r="F282"/>
  <c r="I281"/>
  <c r="F281"/>
  <c r="I280"/>
  <c r="F280"/>
  <c r="I279"/>
  <c r="F279"/>
  <c r="I278"/>
  <c r="F278"/>
  <c r="I277"/>
  <c r="F277"/>
  <c r="I276"/>
  <c r="F276"/>
  <c r="I275"/>
  <c r="F275"/>
  <c r="I274"/>
  <c r="F274"/>
  <c r="I273"/>
  <c r="F273"/>
  <c r="I272"/>
  <c r="F272"/>
  <c r="I271"/>
  <c r="F271"/>
  <c r="I270"/>
  <c r="F270"/>
  <c r="I269"/>
  <c r="F269"/>
  <c r="I268"/>
  <c r="F268"/>
  <c r="I267"/>
  <c r="F267"/>
  <c r="I266"/>
  <c r="F266"/>
  <c r="G265"/>
  <c r="I265" s="1"/>
  <c r="E265"/>
  <c r="D265"/>
  <c r="F265" s="1"/>
  <c r="I264"/>
  <c r="G264"/>
  <c r="E264"/>
  <c r="D264"/>
  <c r="D289" s="1"/>
  <c r="I263"/>
  <c r="F263"/>
  <c r="G262"/>
  <c r="G289" s="1"/>
  <c r="I289" s="1"/>
  <c r="E262"/>
  <c r="E289" s="1"/>
  <c r="I261"/>
  <c r="F261"/>
  <c r="H259"/>
  <c r="G259"/>
  <c r="I259" s="1"/>
  <c r="E259"/>
  <c r="D259"/>
  <c r="F259" s="1"/>
  <c r="I258"/>
  <c r="F258"/>
  <c r="I257"/>
  <c r="F257"/>
  <c r="H255"/>
  <c r="G255"/>
  <c r="I255" s="1"/>
  <c r="E255"/>
  <c r="I254"/>
  <c r="D254"/>
  <c r="D255" s="1"/>
  <c r="F255" s="1"/>
  <c r="H252"/>
  <c r="G252"/>
  <c r="I252" s="1"/>
  <c r="E252"/>
  <c r="D252"/>
  <c r="F252" s="1"/>
  <c r="I251"/>
  <c r="F251"/>
  <c r="I250"/>
  <c r="F250"/>
  <c r="I249"/>
  <c r="F249"/>
  <c r="I248"/>
  <c r="I247"/>
  <c r="F247"/>
  <c r="I246"/>
  <c r="F246"/>
  <c r="I245"/>
  <c r="F245"/>
  <c r="I244"/>
  <c r="F244"/>
  <c r="I243"/>
  <c r="F243"/>
  <c r="I242"/>
  <c r="F242"/>
  <c r="I241"/>
  <c r="F241"/>
  <c r="I240"/>
  <c r="F240"/>
  <c r="I239"/>
  <c r="F239"/>
  <c r="I238"/>
  <c r="F238"/>
  <c r="I237"/>
  <c r="F237"/>
  <c r="I236"/>
  <c r="F236"/>
  <c r="I235"/>
  <c r="F235"/>
  <c r="I234"/>
  <c r="F234"/>
  <c r="I233"/>
  <c r="F233"/>
  <c r="I232"/>
  <c r="F232"/>
  <c r="I231"/>
  <c r="F231"/>
  <c r="I230"/>
  <c r="F230"/>
  <c r="I229"/>
  <c r="F229"/>
  <c r="I228"/>
  <c r="F228"/>
  <c r="I227"/>
  <c r="F227"/>
  <c r="I226"/>
  <c r="F226"/>
  <c r="I225"/>
  <c r="F225"/>
  <c r="I224"/>
  <c r="F224"/>
  <c r="I223"/>
  <c r="F223"/>
  <c r="I222"/>
  <c r="F222"/>
  <c r="I221"/>
  <c r="F221"/>
  <c r="I220"/>
  <c r="F220"/>
  <c r="I219"/>
  <c r="F219"/>
  <c r="I218"/>
  <c r="F218"/>
  <c r="I217"/>
  <c r="F217"/>
  <c r="I216"/>
  <c r="F216"/>
  <c r="I215"/>
  <c r="F215"/>
  <c r="I214"/>
  <c r="F214"/>
  <c r="I213"/>
  <c r="F213"/>
  <c r="I212"/>
  <c r="F212"/>
  <c r="I211"/>
  <c r="F211"/>
  <c r="I210"/>
  <c r="F210"/>
  <c r="I209"/>
  <c r="F209"/>
  <c r="I208"/>
  <c r="F208"/>
  <c r="I207"/>
  <c r="F207"/>
  <c r="I206"/>
  <c r="F206"/>
  <c r="I205"/>
  <c r="F205"/>
  <c r="I204"/>
  <c r="F204"/>
  <c r="I203"/>
  <c r="F203"/>
  <c r="I202"/>
  <c r="F202"/>
  <c r="I201"/>
  <c r="F201"/>
  <c r="I200"/>
  <c r="F200"/>
  <c r="I199"/>
  <c r="F199"/>
  <c r="I198"/>
  <c r="F198"/>
  <c r="G196"/>
  <c r="I195"/>
  <c r="F195"/>
  <c r="I194"/>
  <c r="F194"/>
  <c r="I193"/>
  <c r="F193"/>
  <c r="I192"/>
  <c r="F192"/>
  <c r="I191"/>
  <c r="F191"/>
  <c r="I190"/>
  <c r="F190"/>
  <c r="I189"/>
  <c r="F189"/>
  <c r="I188"/>
  <c r="H188"/>
  <c r="F188"/>
  <c r="E188"/>
  <c r="I187"/>
  <c r="D187"/>
  <c r="D196" s="1"/>
  <c r="I186"/>
  <c r="F186"/>
  <c r="I185"/>
  <c r="F185"/>
  <c r="I184"/>
  <c r="F184"/>
  <c r="I183"/>
  <c r="F183"/>
  <c r="I182"/>
  <c r="F182"/>
  <c r="I181"/>
  <c r="F181"/>
  <c r="I180"/>
  <c r="F180"/>
  <c r="I179"/>
  <c r="F179"/>
  <c r="I178"/>
  <c r="F178"/>
  <c r="H177"/>
  <c r="I177" s="1"/>
  <c r="F177"/>
  <c r="I176"/>
  <c r="F176"/>
  <c r="H175"/>
  <c r="H196" s="1"/>
  <c r="F175"/>
  <c r="E175"/>
  <c r="E196" s="1"/>
  <c r="I174"/>
  <c r="F174"/>
  <c r="I173"/>
  <c r="F173"/>
  <c r="I170"/>
  <c r="F170"/>
  <c r="I169"/>
  <c r="F169"/>
  <c r="I168"/>
  <c r="F168"/>
  <c r="I167"/>
  <c r="F167"/>
  <c r="I166"/>
  <c r="F166"/>
  <c r="I165"/>
  <c r="F165"/>
  <c r="H164"/>
  <c r="I164" s="1"/>
  <c r="F164"/>
  <c r="I163"/>
  <c r="F163"/>
  <c r="I162"/>
  <c r="F162"/>
  <c r="I161"/>
  <c r="F161"/>
  <c r="I160"/>
  <c r="F160"/>
  <c r="I159"/>
  <c r="F159"/>
  <c r="I158"/>
  <c r="F158"/>
  <c r="I157"/>
  <c r="F157"/>
  <c r="H156"/>
  <c r="H171" s="1"/>
  <c r="F156"/>
  <c r="I155"/>
  <c r="F155"/>
  <c r="E155"/>
  <c r="I154"/>
  <c r="G154"/>
  <c r="G171" s="1"/>
  <c r="I171" s="1"/>
  <c r="F154"/>
  <c r="I153"/>
  <c r="E153"/>
  <c r="E171" s="1"/>
  <c r="D153"/>
  <c r="D171" s="1"/>
  <c r="F171" s="1"/>
  <c r="I152"/>
  <c r="F152"/>
  <c r="I151"/>
  <c r="F151"/>
  <c r="G149"/>
  <c r="E149"/>
  <c r="D149"/>
  <c r="F149" s="1"/>
  <c r="I148"/>
  <c r="F148"/>
  <c r="I147"/>
  <c r="F147"/>
  <c r="I146"/>
  <c r="F146"/>
  <c r="I145"/>
  <c r="F145"/>
  <c r="I144"/>
  <c r="F144"/>
  <c r="I143"/>
  <c r="F143"/>
  <c r="I142"/>
  <c r="F142"/>
  <c r="I141"/>
  <c r="F141"/>
  <c r="I140"/>
  <c r="F140"/>
  <c r="I139"/>
  <c r="F139"/>
  <c r="I138"/>
  <c r="F138"/>
  <c r="I137"/>
  <c r="F137"/>
  <c r="I136"/>
  <c r="F136"/>
  <c r="I135"/>
  <c r="H135"/>
  <c r="F135"/>
  <c r="I134"/>
  <c r="F134"/>
  <c r="I133"/>
  <c r="F133"/>
  <c r="H132"/>
  <c r="H149" s="1"/>
  <c r="F132"/>
  <c r="I131"/>
  <c r="F131"/>
  <c r="I130"/>
  <c r="F130"/>
  <c r="I129"/>
  <c r="F129"/>
  <c r="H127"/>
  <c r="G127"/>
  <c r="I127" s="1"/>
  <c r="E127"/>
  <c r="D127"/>
  <c r="F127" s="1"/>
  <c r="I126"/>
  <c r="F126"/>
  <c r="H124"/>
  <c r="G124"/>
  <c r="I124" s="1"/>
  <c r="E124"/>
  <c r="D124"/>
  <c r="F124" s="1"/>
  <c r="I123"/>
  <c r="F123"/>
  <c r="H121"/>
  <c r="G121"/>
  <c r="I121" s="1"/>
  <c r="E121"/>
  <c r="D121"/>
  <c r="F121" s="1"/>
  <c r="I120"/>
  <c r="F120"/>
  <c r="I119"/>
  <c r="F119"/>
  <c r="I118"/>
  <c r="F118"/>
  <c r="I117"/>
  <c r="F117"/>
  <c r="H115"/>
  <c r="G115"/>
  <c r="I115" s="1"/>
  <c r="E115"/>
  <c r="I114"/>
  <c r="F114"/>
  <c r="I113"/>
  <c r="F113"/>
  <c r="I112"/>
  <c r="F112"/>
  <c r="I111"/>
  <c r="F111"/>
  <c r="I110"/>
  <c r="F110"/>
  <c r="I109"/>
  <c r="F109"/>
  <c r="D109"/>
  <c r="D115" s="1"/>
  <c r="F115" s="1"/>
  <c r="I108"/>
  <c r="F108"/>
  <c r="I107"/>
  <c r="F107"/>
  <c r="I106"/>
  <c r="F106"/>
  <c r="E104"/>
  <c r="D104"/>
  <c r="F104" s="1"/>
  <c r="I103"/>
  <c r="F103"/>
  <c r="I102"/>
  <c r="F102"/>
  <c r="I101"/>
  <c r="F101"/>
  <c r="I100"/>
  <c r="F100"/>
  <c r="I99"/>
  <c r="F99"/>
  <c r="H98"/>
  <c r="H104" s="1"/>
  <c r="G98"/>
  <c r="G104" s="1"/>
  <c r="I104" s="1"/>
  <c r="F98"/>
  <c r="I97"/>
  <c r="F97"/>
  <c r="I96"/>
  <c r="F96"/>
  <c r="I95"/>
  <c r="F95"/>
  <c r="I94"/>
  <c r="F94"/>
  <c r="I93"/>
  <c r="F93"/>
  <c r="I92"/>
  <c r="F92"/>
  <c r="I91"/>
  <c r="F91"/>
  <c r="I90"/>
  <c r="F90"/>
  <c r="E88"/>
  <c r="D88"/>
  <c r="F88" s="1"/>
  <c r="H87"/>
  <c r="G87"/>
  <c r="I87" s="1"/>
  <c r="F87"/>
  <c r="I86"/>
  <c r="F86"/>
  <c r="H85"/>
  <c r="H88" s="1"/>
  <c r="G85"/>
  <c r="G88" s="1"/>
  <c r="I88" s="1"/>
  <c r="F85"/>
  <c r="I84"/>
  <c r="F84"/>
  <c r="I83"/>
  <c r="F83"/>
  <c r="I82"/>
  <c r="F82"/>
  <c r="I81"/>
  <c r="F81"/>
  <c r="I80"/>
  <c r="F80"/>
  <c r="I79"/>
  <c r="F79"/>
  <c r="I78"/>
  <c r="F78"/>
  <c r="H76"/>
  <c r="G76"/>
  <c r="I76" s="1"/>
  <c r="E76"/>
  <c r="D76"/>
  <c r="F76" s="1"/>
  <c r="I75"/>
  <c r="F75"/>
  <c r="H73"/>
  <c r="H290" s="1"/>
  <c r="G73"/>
  <c r="I73" s="1"/>
  <c r="D73"/>
  <c r="D290" s="1"/>
  <c r="I72"/>
  <c r="F72"/>
  <c r="I71"/>
  <c r="F71"/>
  <c r="E71"/>
  <c r="E73" s="1"/>
  <c r="E290" s="1"/>
  <c r="D45"/>
  <c r="E43"/>
  <c r="F41"/>
  <c r="F44" s="1"/>
  <c r="E38"/>
  <c r="E36"/>
  <c r="D35"/>
  <c r="F37" s="1"/>
  <c r="F34"/>
  <c r="E31"/>
  <c r="E45" s="1"/>
  <c r="F29"/>
  <c r="F32" s="1"/>
  <c r="F38" s="1"/>
  <c r="F45" s="1"/>
  <c r="I381" i="11"/>
  <c r="I357"/>
  <c r="I356"/>
  <c r="I355"/>
  <c r="I353"/>
  <c r="I351"/>
  <c r="I349"/>
  <c r="I348"/>
  <c r="I347"/>
  <c r="I346"/>
  <c r="I345"/>
  <c r="I343"/>
  <c r="I342"/>
  <c r="I341"/>
  <c r="I340"/>
  <c r="I339"/>
  <c r="I382" s="1"/>
  <c r="I332"/>
  <c r="I331"/>
  <c r="I330"/>
  <c r="I329"/>
  <c r="I327"/>
  <c r="I326"/>
  <c r="I333" s="1"/>
  <c r="H315"/>
  <c r="G315"/>
  <c r="D315"/>
  <c r="I314"/>
  <c r="F314"/>
  <c r="I313"/>
  <c r="F313"/>
  <c r="I312"/>
  <c r="F312"/>
  <c r="I311"/>
  <c r="F311"/>
  <c r="I310"/>
  <c r="F310"/>
  <c r="I309"/>
  <c r="F309"/>
  <c r="I308"/>
  <c r="F308"/>
  <c r="I307"/>
  <c r="F307"/>
  <c r="I306"/>
  <c r="F306"/>
  <c r="I305"/>
  <c r="F305"/>
  <c r="F304"/>
  <c r="I303"/>
  <c r="F303"/>
  <c r="E303"/>
  <c r="E315" s="1"/>
  <c r="I302"/>
  <c r="F302"/>
  <c r="I301"/>
  <c r="F301"/>
  <c r="I300"/>
  <c r="F300"/>
  <c r="I299"/>
  <c r="F299"/>
  <c r="I298"/>
  <c r="F298"/>
  <c r="I297"/>
  <c r="F297"/>
  <c r="I296"/>
  <c r="F296"/>
  <c r="I295"/>
  <c r="F295"/>
  <c r="I294"/>
  <c r="F294"/>
  <c r="I293"/>
  <c r="F293"/>
  <c r="I292"/>
  <c r="F292"/>
  <c r="I291"/>
  <c r="F291"/>
  <c r="I288"/>
  <c r="I287"/>
  <c r="I286"/>
  <c r="I285"/>
  <c r="F285"/>
  <c r="I284"/>
  <c r="F284"/>
  <c r="I283"/>
  <c r="F283"/>
  <c r="I282"/>
  <c r="F282"/>
  <c r="I281"/>
  <c r="F281"/>
  <c r="I280"/>
  <c r="F280"/>
  <c r="I279"/>
  <c r="F279"/>
  <c r="I278"/>
  <c r="F278"/>
  <c r="I277"/>
  <c r="F277"/>
  <c r="I276"/>
  <c r="F276"/>
  <c r="I275"/>
  <c r="F275"/>
  <c r="I274"/>
  <c r="F274"/>
  <c r="I273"/>
  <c r="F273"/>
  <c r="I272"/>
  <c r="F272"/>
  <c r="I271"/>
  <c r="F271"/>
  <c r="I270"/>
  <c r="F270"/>
  <c r="I269"/>
  <c r="F269"/>
  <c r="I268"/>
  <c r="F268"/>
  <c r="I267"/>
  <c r="F267"/>
  <c r="H266"/>
  <c r="G266"/>
  <c r="I266" s="1"/>
  <c r="F266"/>
  <c r="E266"/>
  <c r="H265"/>
  <c r="G265"/>
  <c r="G289" s="1"/>
  <c r="E265"/>
  <c r="E289" s="1"/>
  <c r="D265"/>
  <c r="D289" s="1"/>
  <c r="F289" s="1"/>
  <c r="I264"/>
  <c r="F264"/>
  <c r="I263"/>
  <c r="H263"/>
  <c r="H289" s="1"/>
  <c r="F263"/>
  <c r="I262"/>
  <c r="F262"/>
  <c r="H260"/>
  <c r="G260"/>
  <c r="I260" s="1"/>
  <c r="E260"/>
  <c r="D260"/>
  <c r="F260" s="1"/>
  <c r="I259"/>
  <c r="F259"/>
  <c r="I258"/>
  <c r="F258"/>
  <c r="H256"/>
  <c r="E256"/>
  <c r="D256"/>
  <c r="F256" s="1"/>
  <c r="G255"/>
  <c r="G256" s="1"/>
  <c r="I256" s="1"/>
  <c r="F255"/>
  <c r="H253"/>
  <c r="G253"/>
  <c r="I253" s="1"/>
  <c r="D253"/>
  <c r="I252"/>
  <c r="F252"/>
  <c r="I251"/>
  <c r="F251"/>
  <c r="I250"/>
  <c r="F250"/>
  <c r="I249"/>
  <c r="I248"/>
  <c r="F248"/>
  <c r="I247"/>
  <c r="F247"/>
  <c r="I246"/>
  <c r="F246"/>
  <c r="I245"/>
  <c r="F245"/>
  <c r="I244"/>
  <c r="F244"/>
  <c r="I243"/>
  <c r="F243"/>
  <c r="I242"/>
  <c r="F242"/>
  <c r="I241"/>
  <c r="F241"/>
  <c r="I240"/>
  <c r="F240"/>
  <c r="I239"/>
  <c r="F239"/>
  <c r="I238"/>
  <c r="F238"/>
  <c r="I237"/>
  <c r="F237"/>
  <c r="I236"/>
  <c r="F236"/>
  <c r="I235"/>
  <c r="F235"/>
  <c r="I234"/>
  <c r="F234"/>
  <c r="I233"/>
  <c r="F233"/>
  <c r="I232"/>
  <c r="F232"/>
  <c r="I231"/>
  <c r="F231"/>
  <c r="I230"/>
  <c r="F230"/>
  <c r="I229"/>
  <c r="F229"/>
  <c r="I228"/>
  <c r="F228"/>
  <c r="I227"/>
  <c r="F227"/>
  <c r="I226"/>
  <c r="F226"/>
  <c r="I225"/>
  <c r="F225"/>
  <c r="I224"/>
  <c r="F224"/>
  <c r="I223"/>
  <c r="F223"/>
  <c r="I222"/>
  <c r="F222"/>
  <c r="I221"/>
  <c r="F221"/>
  <c r="I220"/>
  <c r="F220"/>
  <c r="I219"/>
  <c r="F219"/>
  <c r="I218"/>
  <c r="E218"/>
  <c r="F218" s="1"/>
  <c r="I217"/>
  <c r="F217"/>
  <c r="I216"/>
  <c r="F216"/>
  <c r="I215"/>
  <c r="F215"/>
  <c r="I214"/>
  <c r="F214"/>
  <c r="I213"/>
  <c r="F213"/>
  <c r="I212"/>
  <c r="F212"/>
  <c r="I211"/>
  <c r="F211"/>
  <c r="I210"/>
  <c r="F210"/>
  <c r="I209"/>
  <c r="F209"/>
  <c r="E209"/>
  <c r="I208"/>
  <c r="E208"/>
  <c r="E253" s="1"/>
  <c r="I207"/>
  <c r="F207"/>
  <c r="I206"/>
  <c r="F206"/>
  <c r="I205"/>
  <c r="F205"/>
  <c r="I204"/>
  <c r="F204"/>
  <c r="I203"/>
  <c r="F203"/>
  <c r="I202"/>
  <c r="F202"/>
  <c r="I201"/>
  <c r="F201"/>
  <c r="I200"/>
  <c r="F200"/>
  <c r="I199"/>
  <c r="F199"/>
  <c r="D197"/>
  <c r="I196"/>
  <c r="F196"/>
  <c r="I195"/>
  <c r="F195"/>
  <c r="I194"/>
  <c r="F194"/>
  <c r="I193"/>
  <c r="F193"/>
  <c r="I192"/>
  <c r="F192"/>
  <c r="I191"/>
  <c r="F191"/>
  <c r="I190"/>
  <c r="F190"/>
  <c r="H189"/>
  <c r="I189" s="1"/>
  <c r="E189"/>
  <c r="F189" s="1"/>
  <c r="G188"/>
  <c r="G197" s="1"/>
  <c r="F188"/>
  <c r="I187"/>
  <c r="E187"/>
  <c r="F187" s="1"/>
  <c r="I186"/>
  <c r="E186"/>
  <c r="F186" s="1"/>
  <c r="I185"/>
  <c r="F185"/>
  <c r="I184"/>
  <c r="F184"/>
  <c r="I183"/>
  <c r="F183"/>
  <c r="I182"/>
  <c r="F182"/>
  <c r="I181"/>
  <c r="F181"/>
  <c r="I180"/>
  <c r="F180"/>
  <c r="I179"/>
  <c r="F179"/>
  <c r="I178"/>
  <c r="F178"/>
  <c r="I177"/>
  <c r="F177"/>
  <c r="H176"/>
  <c r="H197" s="1"/>
  <c r="E176"/>
  <c r="F176" s="1"/>
  <c r="I175"/>
  <c r="F175"/>
  <c r="I174"/>
  <c r="F174"/>
  <c r="E172"/>
  <c r="D172"/>
  <c r="F172" s="1"/>
  <c r="I171"/>
  <c r="F171"/>
  <c r="I170"/>
  <c r="F170"/>
  <c r="I169"/>
  <c r="F169"/>
  <c r="I168"/>
  <c r="F168"/>
  <c r="I167"/>
  <c r="F167"/>
  <c r="I166"/>
  <c r="F166"/>
  <c r="I165"/>
  <c r="F165"/>
  <c r="I164"/>
  <c r="F164"/>
  <c r="I163"/>
  <c r="F163"/>
  <c r="I162"/>
  <c r="F162"/>
  <c r="I161"/>
  <c r="F161"/>
  <c r="I160"/>
  <c r="F160"/>
  <c r="I159"/>
  <c r="F159"/>
  <c r="I158"/>
  <c r="F158"/>
  <c r="I157"/>
  <c r="F157"/>
  <c r="H156"/>
  <c r="I156" s="1"/>
  <c r="F156"/>
  <c r="I155"/>
  <c r="F155"/>
  <c r="H154"/>
  <c r="H172" s="1"/>
  <c r="G154"/>
  <c r="G172" s="1"/>
  <c r="F154"/>
  <c r="I153"/>
  <c r="F153"/>
  <c r="I152"/>
  <c r="F152"/>
  <c r="H150"/>
  <c r="G150"/>
  <c r="I150" s="1"/>
  <c r="E150"/>
  <c r="D150"/>
  <c r="F150" s="1"/>
  <c r="I149"/>
  <c r="F149"/>
  <c r="I148"/>
  <c r="F148"/>
  <c r="I147"/>
  <c r="F147"/>
  <c r="I146"/>
  <c r="F146"/>
  <c r="I145"/>
  <c r="F145"/>
  <c r="I144"/>
  <c r="F144"/>
  <c r="I143"/>
  <c r="F143"/>
  <c r="I142"/>
  <c r="F142"/>
  <c r="I141"/>
  <c r="F141"/>
  <c r="I140"/>
  <c r="F140"/>
  <c r="I139"/>
  <c r="F139"/>
  <c r="I138"/>
  <c r="F138"/>
  <c r="I137"/>
  <c r="F137"/>
  <c r="I136"/>
  <c r="F136"/>
  <c r="I135"/>
  <c r="F135"/>
  <c r="I134"/>
  <c r="F134"/>
  <c r="I133"/>
  <c r="F133"/>
  <c r="I132"/>
  <c r="F132"/>
  <c r="I131"/>
  <c r="F131"/>
  <c r="I130"/>
  <c r="F130"/>
  <c r="H128"/>
  <c r="G128"/>
  <c r="I128" s="1"/>
  <c r="E128"/>
  <c r="D128"/>
  <c r="F128" s="1"/>
  <c r="I127"/>
  <c r="F127"/>
  <c r="H125"/>
  <c r="G125"/>
  <c r="I125" s="1"/>
  <c r="E125"/>
  <c r="D125"/>
  <c r="F125" s="1"/>
  <c r="I124"/>
  <c r="F124"/>
  <c r="H122"/>
  <c r="G122"/>
  <c r="I122" s="1"/>
  <c r="E122"/>
  <c r="D122"/>
  <c r="F122" s="1"/>
  <c r="I121"/>
  <c r="F121"/>
  <c r="I120"/>
  <c r="F120"/>
  <c r="I119"/>
  <c r="F119"/>
  <c r="I118"/>
  <c r="F118"/>
  <c r="H116"/>
  <c r="E116"/>
  <c r="D116"/>
  <c r="F116" s="1"/>
  <c r="I115"/>
  <c r="F115"/>
  <c r="I114"/>
  <c r="F114"/>
  <c r="I113"/>
  <c r="F113"/>
  <c r="I112"/>
  <c r="F112"/>
  <c r="I111"/>
  <c r="F111"/>
  <c r="G110"/>
  <c r="G116" s="1"/>
  <c r="I116" s="1"/>
  <c r="F110"/>
  <c r="I109"/>
  <c r="F109"/>
  <c r="I108"/>
  <c r="F108"/>
  <c r="I107"/>
  <c r="F107"/>
  <c r="H105"/>
  <c r="G105"/>
  <c r="I105" s="1"/>
  <c r="E105"/>
  <c r="D105"/>
  <c r="F105" s="1"/>
  <c r="I104"/>
  <c r="F104"/>
  <c r="I103"/>
  <c r="F103"/>
  <c r="I102"/>
  <c r="F102"/>
  <c r="I101"/>
  <c r="F101"/>
  <c r="I100"/>
  <c r="F100"/>
  <c r="I99"/>
  <c r="F99"/>
  <c r="I98"/>
  <c r="F98"/>
  <c r="I97"/>
  <c r="F97"/>
  <c r="I96"/>
  <c r="F96"/>
  <c r="I95"/>
  <c r="F95"/>
  <c r="I94"/>
  <c r="F94"/>
  <c r="I93"/>
  <c r="F93"/>
  <c r="I92"/>
  <c r="F92"/>
  <c r="I91"/>
  <c r="F91"/>
  <c r="H89"/>
  <c r="G89"/>
  <c r="I89" s="1"/>
  <c r="E89"/>
  <c r="D89"/>
  <c r="F89" s="1"/>
  <c r="I88"/>
  <c r="F88"/>
  <c r="I87"/>
  <c r="F87"/>
  <c r="I86"/>
  <c r="F86"/>
  <c r="I85"/>
  <c r="F85"/>
  <c r="I84"/>
  <c r="F84"/>
  <c r="I83"/>
  <c r="F83"/>
  <c r="I82"/>
  <c r="F82"/>
  <c r="I81"/>
  <c r="F81"/>
  <c r="I80"/>
  <c r="F80"/>
  <c r="I79"/>
  <c r="F79"/>
  <c r="H77"/>
  <c r="G77"/>
  <c r="I77" s="1"/>
  <c r="E77"/>
  <c r="D77"/>
  <c r="F77" s="1"/>
  <c r="I76"/>
  <c r="F76"/>
  <c r="G74"/>
  <c r="E74"/>
  <c r="D74"/>
  <c r="F74" s="1"/>
  <c r="I73"/>
  <c r="F73"/>
  <c r="I72"/>
  <c r="H72"/>
  <c r="H74" s="1"/>
  <c r="F72"/>
  <c r="D45"/>
  <c r="E43"/>
  <c r="F41"/>
  <c r="F44" s="1"/>
  <c r="E38"/>
  <c r="E36"/>
  <c r="D35"/>
  <c r="F37" s="1"/>
  <c r="F34"/>
  <c r="E31"/>
  <c r="E45" s="1"/>
  <c r="F29"/>
  <c r="F32" s="1"/>
  <c r="F38" s="1"/>
  <c r="F45" s="1"/>
  <c r="I350" i="10"/>
  <c r="I349"/>
  <c r="I348"/>
  <c r="I347"/>
  <c r="I346"/>
  <c r="I345"/>
  <c r="I343"/>
  <c r="I342"/>
  <c r="I340"/>
  <c r="I339"/>
  <c r="I338"/>
  <c r="I337"/>
  <c r="I336"/>
  <c r="I335"/>
  <c r="I351" s="1"/>
  <c r="I328"/>
  <c r="I327"/>
  <c r="I326"/>
  <c r="I323"/>
  <c r="I321"/>
  <c r="I329" s="1"/>
  <c r="G310"/>
  <c r="E310"/>
  <c r="I309"/>
  <c r="I308"/>
  <c r="F308"/>
  <c r="D308"/>
  <c r="I307"/>
  <c r="D307"/>
  <c r="F307" s="1"/>
  <c r="I306"/>
  <c r="F306"/>
  <c r="D306"/>
  <c r="I305"/>
  <c r="D305"/>
  <c r="F305" s="1"/>
  <c r="I304"/>
  <c r="F304"/>
  <c r="D304"/>
  <c r="I303"/>
  <c r="D303"/>
  <c r="F303" s="1"/>
  <c r="I302"/>
  <c r="F302"/>
  <c r="D302"/>
  <c r="I301"/>
  <c r="D301"/>
  <c r="F301" s="1"/>
  <c r="I300"/>
  <c r="I299"/>
  <c r="H298"/>
  <c r="H310" s="1"/>
  <c r="I297"/>
  <c r="I296"/>
  <c r="D296"/>
  <c r="F296" s="1"/>
  <c r="I295"/>
  <c r="F295"/>
  <c r="D295"/>
  <c r="I294"/>
  <c r="D294"/>
  <c r="F294" s="1"/>
  <c r="I293"/>
  <c r="F293"/>
  <c r="D293"/>
  <c r="I292"/>
  <c r="D292"/>
  <c r="F292" s="1"/>
  <c r="I291"/>
  <c r="F291"/>
  <c r="D291"/>
  <c r="I290"/>
  <c r="D290"/>
  <c r="F290" s="1"/>
  <c r="I289"/>
  <c r="F289"/>
  <c r="D289"/>
  <c r="I288"/>
  <c r="D288"/>
  <c r="F288" s="1"/>
  <c r="I287"/>
  <c r="F287"/>
  <c r="D287"/>
  <c r="I286"/>
  <c r="D286"/>
  <c r="D310" s="1"/>
  <c r="I283"/>
  <c r="I282"/>
  <c r="I281"/>
  <c r="I280"/>
  <c r="E280"/>
  <c r="D280"/>
  <c r="F280" s="1"/>
  <c r="I279"/>
  <c r="F279"/>
  <c r="I278"/>
  <c r="F278"/>
  <c r="I277"/>
  <c r="F277"/>
  <c r="E277"/>
  <c r="I276"/>
  <c r="E276"/>
  <c r="D276"/>
  <c r="F276" s="1"/>
  <c r="I275"/>
  <c r="E275"/>
  <c r="F275" s="1"/>
  <c r="I274"/>
  <c r="F274"/>
  <c r="I273"/>
  <c r="F273"/>
  <c r="I272"/>
  <c r="F272"/>
  <c r="I271"/>
  <c r="F271"/>
  <c r="I270"/>
  <c r="E270"/>
  <c r="D270"/>
  <c r="F270" s="1"/>
  <c r="I269"/>
  <c r="F269"/>
  <c r="E269"/>
  <c r="I268"/>
  <c r="E268"/>
  <c r="F268" s="1"/>
  <c r="I267"/>
  <c r="F267"/>
  <c r="E267"/>
  <c r="I266"/>
  <c r="E266"/>
  <c r="F266" s="1"/>
  <c r="H265"/>
  <c r="I265" s="1"/>
  <c r="E265"/>
  <c r="F265" s="1"/>
  <c r="H264"/>
  <c r="H284" s="1"/>
  <c r="G264"/>
  <c r="I264" s="1"/>
  <c r="E264"/>
  <c r="D264"/>
  <c r="F264" s="1"/>
  <c r="I263"/>
  <c r="E263"/>
  <c r="D263"/>
  <c r="F263" s="1"/>
  <c r="I262"/>
  <c r="E262"/>
  <c r="E284" s="1"/>
  <c r="D262"/>
  <c r="F262" s="1"/>
  <c r="I261"/>
  <c r="F261"/>
  <c r="D261"/>
  <c r="D284" s="1"/>
  <c r="F284" s="1"/>
  <c r="H259"/>
  <c r="G259"/>
  <c r="I259" s="1"/>
  <c r="I258"/>
  <c r="E258"/>
  <c r="D258"/>
  <c r="F258" s="1"/>
  <c r="I257"/>
  <c r="E257"/>
  <c r="E259" s="1"/>
  <c r="D257"/>
  <c r="D259" s="1"/>
  <c r="F259" s="1"/>
  <c r="H255"/>
  <c r="G255"/>
  <c r="I255" s="1"/>
  <c r="E255"/>
  <c r="D255"/>
  <c r="F255" s="1"/>
  <c r="I254"/>
  <c r="F254"/>
  <c r="G252"/>
  <c r="I251"/>
  <c r="E251"/>
  <c r="F251" s="1"/>
  <c r="I250"/>
  <c r="E250"/>
  <c r="D250"/>
  <c r="F250" s="1"/>
  <c r="I249"/>
  <c r="E249"/>
  <c r="D249"/>
  <c r="F249" s="1"/>
  <c r="I248"/>
  <c r="I247"/>
  <c r="F247"/>
  <c r="I246"/>
  <c r="F246"/>
  <c r="I245"/>
  <c r="F245"/>
  <c r="I244"/>
  <c r="D244"/>
  <c r="F244" s="1"/>
  <c r="I243"/>
  <c r="F243"/>
  <c r="I242"/>
  <c r="F242"/>
  <c r="I241"/>
  <c r="F241"/>
  <c r="I240"/>
  <c r="F240"/>
  <c r="I239"/>
  <c r="F239"/>
  <c r="I238"/>
  <c r="F238"/>
  <c r="I237"/>
  <c r="F237"/>
  <c r="E237"/>
  <c r="I236"/>
  <c r="F236"/>
  <c r="I235"/>
  <c r="F235"/>
  <c r="I234"/>
  <c r="F234"/>
  <c r="I233"/>
  <c r="F233"/>
  <c r="I232"/>
  <c r="F232"/>
  <c r="I231"/>
  <c r="F231"/>
  <c r="I230"/>
  <c r="F230"/>
  <c r="I229"/>
  <c r="F229"/>
  <c r="I228"/>
  <c r="F228"/>
  <c r="I227"/>
  <c r="F227"/>
  <c r="I226"/>
  <c r="F226"/>
  <c r="I225"/>
  <c r="F225"/>
  <c r="I224"/>
  <c r="F224"/>
  <c r="I223"/>
  <c r="F223"/>
  <c r="I222"/>
  <c r="E222"/>
  <c r="F222" s="1"/>
  <c r="I221"/>
  <c r="F221"/>
  <c r="I220"/>
  <c r="F220"/>
  <c r="I219"/>
  <c r="F219"/>
  <c r="H218"/>
  <c r="I218" s="1"/>
  <c r="F218"/>
  <c r="I217"/>
  <c r="D217"/>
  <c r="F217" s="1"/>
  <c r="I216"/>
  <c r="F216"/>
  <c r="D216"/>
  <c r="I215"/>
  <c r="D215"/>
  <c r="F215" s="1"/>
  <c r="I214"/>
  <c r="F214"/>
  <c r="D214"/>
  <c r="I213"/>
  <c r="E213"/>
  <c r="D213"/>
  <c r="F213" s="1"/>
  <c r="I212"/>
  <c r="F212"/>
  <c r="I211"/>
  <c r="F211"/>
  <c r="I210"/>
  <c r="F210"/>
  <c r="I209"/>
  <c r="H209"/>
  <c r="F209"/>
  <c r="H208"/>
  <c r="H252" s="1"/>
  <c r="F208"/>
  <c r="I207"/>
  <c r="F207"/>
  <c r="I206"/>
  <c r="F206"/>
  <c r="I205"/>
  <c r="F205"/>
  <c r="I204"/>
  <c r="F204"/>
  <c r="I203"/>
  <c r="F203"/>
  <c r="I202"/>
  <c r="F202"/>
  <c r="I201"/>
  <c r="F201"/>
  <c r="I200"/>
  <c r="F200"/>
  <c r="I199"/>
  <c r="E199"/>
  <c r="E252" s="1"/>
  <c r="D199"/>
  <c r="D252" s="1"/>
  <c r="F252" s="1"/>
  <c r="G197"/>
  <c r="I196"/>
  <c r="F196"/>
  <c r="I195"/>
  <c r="F195"/>
  <c r="I194"/>
  <c r="F194"/>
  <c r="I193"/>
  <c r="F193"/>
  <c r="I192"/>
  <c r="F192"/>
  <c r="I191"/>
  <c r="F191"/>
  <c r="I190"/>
  <c r="F190"/>
  <c r="I189"/>
  <c r="H189"/>
  <c r="E189"/>
  <c r="D189"/>
  <c r="F189" s="1"/>
  <c r="I188"/>
  <c r="F188"/>
  <c r="H187"/>
  <c r="I187" s="1"/>
  <c r="F187"/>
  <c r="H186"/>
  <c r="I186" s="1"/>
  <c r="F186"/>
  <c r="I185"/>
  <c r="F185"/>
  <c r="I184"/>
  <c r="F184"/>
  <c r="I183"/>
  <c r="F183"/>
  <c r="I182"/>
  <c r="F182"/>
  <c r="I181"/>
  <c r="F181"/>
  <c r="I180"/>
  <c r="F180"/>
  <c r="I179"/>
  <c r="F179"/>
  <c r="I178"/>
  <c r="F178"/>
  <c r="I177"/>
  <c r="E177"/>
  <c r="D177"/>
  <c r="D197" s="1"/>
  <c r="I176"/>
  <c r="H176"/>
  <c r="H197" s="1"/>
  <c r="F176"/>
  <c r="E176"/>
  <c r="E197" s="1"/>
  <c r="I175"/>
  <c r="F175"/>
  <c r="I174"/>
  <c r="F174"/>
  <c r="H172"/>
  <c r="G172"/>
  <c r="I172" s="1"/>
  <c r="I171"/>
  <c r="F171"/>
  <c r="I170"/>
  <c r="F170"/>
  <c r="I169"/>
  <c r="F169"/>
  <c r="I168"/>
  <c r="F168"/>
  <c r="I167"/>
  <c r="F167"/>
  <c r="I166"/>
  <c r="F166"/>
  <c r="I165"/>
  <c r="F165"/>
  <c r="I164"/>
  <c r="D164"/>
  <c r="F164" s="1"/>
  <c r="I163"/>
  <c r="F163"/>
  <c r="I162"/>
  <c r="F162"/>
  <c r="I161"/>
  <c r="F161"/>
  <c r="I160"/>
  <c r="F160"/>
  <c r="I159"/>
  <c r="F159"/>
  <c r="I158"/>
  <c r="F158"/>
  <c r="I157"/>
  <c r="F157"/>
  <c r="I156"/>
  <c r="E156"/>
  <c r="E172" s="1"/>
  <c r="D156"/>
  <c r="F156" s="1"/>
  <c r="I155"/>
  <c r="F155"/>
  <c r="I154"/>
  <c r="F154"/>
  <c r="I153"/>
  <c r="F153"/>
  <c r="I152"/>
  <c r="F152"/>
  <c r="H150"/>
  <c r="G150"/>
  <c r="I150" s="1"/>
  <c r="I149"/>
  <c r="E149"/>
  <c r="D149"/>
  <c r="F149" s="1"/>
  <c r="I148"/>
  <c r="F148"/>
  <c r="I147"/>
  <c r="F147"/>
  <c r="I146"/>
  <c r="F146"/>
  <c r="E146"/>
  <c r="I145"/>
  <c r="E145"/>
  <c r="F145" s="1"/>
  <c r="I144"/>
  <c r="F144"/>
  <c r="I143"/>
  <c r="F143"/>
  <c r="I142"/>
  <c r="F142"/>
  <c r="I141"/>
  <c r="F141"/>
  <c r="I140"/>
  <c r="F140"/>
  <c r="E140"/>
  <c r="E150" s="1"/>
  <c r="I139"/>
  <c r="F139"/>
  <c r="I138"/>
  <c r="F138"/>
  <c r="I137"/>
  <c r="F137"/>
  <c r="I136"/>
  <c r="F136"/>
  <c r="I135"/>
  <c r="F135"/>
  <c r="I134"/>
  <c r="F134"/>
  <c r="I133"/>
  <c r="D133"/>
  <c r="D150" s="1"/>
  <c r="F150" s="1"/>
  <c r="I132"/>
  <c r="F132"/>
  <c r="I131"/>
  <c r="F131"/>
  <c r="I130"/>
  <c r="F130"/>
  <c r="H128"/>
  <c r="G128"/>
  <c r="I128" s="1"/>
  <c r="E128"/>
  <c r="D128"/>
  <c r="F128" s="1"/>
  <c r="I127"/>
  <c r="F127"/>
  <c r="H125"/>
  <c r="G125"/>
  <c r="I125" s="1"/>
  <c r="E125"/>
  <c r="D125"/>
  <c r="F125" s="1"/>
  <c r="I124"/>
  <c r="F124"/>
  <c r="H122"/>
  <c r="G122"/>
  <c r="I122" s="1"/>
  <c r="I121"/>
  <c r="F121"/>
  <c r="I120"/>
  <c r="F120"/>
  <c r="I119"/>
  <c r="E119"/>
  <c r="E122" s="1"/>
  <c r="D119"/>
  <c r="D122" s="1"/>
  <c r="I118"/>
  <c r="F118"/>
  <c r="H116"/>
  <c r="G116"/>
  <c r="I116" s="1"/>
  <c r="I115"/>
  <c r="F115"/>
  <c r="I114"/>
  <c r="F114"/>
  <c r="I113"/>
  <c r="F113"/>
  <c r="I112"/>
  <c r="F112"/>
  <c r="I111"/>
  <c r="F111"/>
  <c r="I110"/>
  <c r="F110"/>
  <c r="I109"/>
  <c r="F109"/>
  <c r="I108"/>
  <c r="E108"/>
  <c r="E116" s="1"/>
  <c r="D108"/>
  <c r="D116" s="1"/>
  <c r="F116" s="1"/>
  <c r="I107"/>
  <c r="F107"/>
  <c r="H105"/>
  <c r="G105"/>
  <c r="I105" s="1"/>
  <c r="D105"/>
  <c r="I104"/>
  <c r="E104"/>
  <c r="F104" s="1"/>
  <c r="I103"/>
  <c r="F103"/>
  <c r="I102"/>
  <c r="F102"/>
  <c r="I101"/>
  <c r="F101"/>
  <c r="I100"/>
  <c r="F100"/>
  <c r="I99"/>
  <c r="E99"/>
  <c r="E105" s="1"/>
  <c r="I98"/>
  <c r="F98"/>
  <c r="I97"/>
  <c r="F97"/>
  <c r="I96"/>
  <c r="F96"/>
  <c r="I95"/>
  <c r="F95"/>
  <c r="I94"/>
  <c r="F94"/>
  <c r="I93"/>
  <c r="F93"/>
  <c r="I92"/>
  <c r="F92"/>
  <c r="I91"/>
  <c r="F91"/>
  <c r="H89"/>
  <c r="G89"/>
  <c r="I89" s="1"/>
  <c r="I88"/>
  <c r="F88"/>
  <c r="I87"/>
  <c r="F87"/>
  <c r="I86"/>
  <c r="E86"/>
  <c r="D86"/>
  <c r="F86" s="1"/>
  <c r="I85"/>
  <c r="F85"/>
  <c r="I84"/>
  <c r="F84"/>
  <c r="I83"/>
  <c r="F83"/>
  <c r="I82"/>
  <c r="F82"/>
  <c r="I81"/>
  <c r="F81"/>
  <c r="I80"/>
  <c r="F80"/>
  <c r="I79"/>
  <c r="E79"/>
  <c r="E89" s="1"/>
  <c r="D79"/>
  <c r="D89" s="1"/>
  <c r="H77"/>
  <c r="G77"/>
  <c r="I77" s="1"/>
  <c r="D77"/>
  <c r="F77" s="1"/>
  <c r="I76"/>
  <c r="F76"/>
  <c r="E76"/>
  <c r="E77" s="1"/>
  <c r="H74"/>
  <c r="G74"/>
  <c r="I74" s="1"/>
  <c r="I73"/>
  <c r="E73"/>
  <c r="D73"/>
  <c r="D74" s="1"/>
  <c r="I72"/>
  <c r="E72"/>
  <c r="E74" s="1"/>
  <c r="D72"/>
  <c r="F72" s="1"/>
  <c r="E43"/>
  <c r="D42"/>
  <c r="D45" s="1"/>
  <c r="F41"/>
  <c r="F44" s="1"/>
  <c r="E38"/>
  <c r="E36"/>
  <c r="D35"/>
  <c r="F37" s="1"/>
  <c r="F34"/>
  <c r="E31"/>
  <c r="E45" s="1"/>
  <c r="F29"/>
  <c r="F32" s="1"/>
  <c r="F38" s="1"/>
  <c r="F45" s="1"/>
  <c r="I335" i="9"/>
  <c r="I334"/>
  <c r="I333"/>
  <c r="I332"/>
  <c r="I331"/>
  <c r="I330"/>
  <c r="I329"/>
  <c r="I328"/>
  <c r="I327"/>
  <c r="I326"/>
  <c r="I325"/>
  <c r="I323"/>
  <c r="I322"/>
  <c r="I321"/>
  <c r="I320"/>
  <c r="I319"/>
  <c r="I336" s="1"/>
  <c r="I312"/>
  <c r="I311"/>
  <c r="I313" s="1"/>
  <c r="H302"/>
  <c r="I301"/>
  <c r="G301"/>
  <c r="E301"/>
  <c r="D301"/>
  <c r="F301" s="1"/>
  <c r="G300"/>
  <c r="I300" s="1"/>
  <c r="E300"/>
  <c r="D300"/>
  <c r="F300" s="1"/>
  <c r="I299"/>
  <c r="G299"/>
  <c r="E299"/>
  <c r="D299"/>
  <c r="F299" s="1"/>
  <c r="G298"/>
  <c r="I298" s="1"/>
  <c r="E298"/>
  <c r="D298"/>
  <c r="F298" s="1"/>
  <c r="I297"/>
  <c r="G297"/>
  <c r="E297"/>
  <c r="D297"/>
  <c r="F297" s="1"/>
  <c r="G296"/>
  <c r="I296" s="1"/>
  <c r="E296"/>
  <c r="D296"/>
  <c r="F296" s="1"/>
  <c r="I295"/>
  <c r="G295"/>
  <c r="E295"/>
  <c r="D295"/>
  <c r="F295" s="1"/>
  <c r="G294"/>
  <c r="I294" s="1"/>
  <c r="E294"/>
  <c r="D294"/>
  <c r="F294" s="1"/>
  <c r="I293"/>
  <c r="G293"/>
  <c r="E293"/>
  <c r="D293"/>
  <c r="F293" s="1"/>
  <c r="G292"/>
  <c r="I292" s="1"/>
  <c r="E292"/>
  <c r="D292"/>
  <c r="F292" s="1"/>
  <c r="I291"/>
  <c r="G291"/>
  <c r="E291"/>
  <c r="D291"/>
  <c r="F291" s="1"/>
  <c r="G290"/>
  <c r="I290" s="1"/>
  <c r="E290"/>
  <c r="D290"/>
  <c r="F290" s="1"/>
  <c r="I289"/>
  <c r="G289"/>
  <c r="E289"/>
  <c r="D289"/>
  <c r="F289" s="1"/>
  <c r="G288"/>
  <c r="I288" s="1"/>
  <c r="E288"/>
  <c r="D288"/>
  <c r="F288" s="1"/>
  <c r="I287"/>
  <c r="G287"/>
  <c r="E287"/>
  <c r="D287"/>
  <c r="F287" s="1"/>
  <c r="G286"/>
  <c r="I286" s="1"/>
  <c r="E286"/>
  <c r="D286"/>
  <c r="F286" s="1"/>
  <c r="I285"/>
  <c r="G285"/>
  <c r="E285"/>
  <c r="D285"/>
  <c r="F285" s="1"/>
  <c r="G284"/>
  <c r="I284" s="1"/>
  <c r="E284"/>
  <c r="D284"/>
  <c r="F284" s="1"/>
  <c r="I283"/>
  <c r="G283"/>
  <c r="G302" s="1"/>
  <c r="E283"/>
  <c r="E302" s="1"/>
  <c r="D283"/>
  <c r="D302" s="1"/>
  <c r="H280"/>
  <c r="G280"/>
  <c r="I280" s="1"/>
  <c r="E280"/>
  <c r="D280"/>
  <c r="F280" s="1"/>
  <c r="I279"/>
  <c r="F279"/>
  <c r="I278"/>
  <c r="F278"/>
  <c r="H277"/>
  <c r="I277" s="1"/>
  <c r="E277"/>
  <c r="F277" s="1"/>
  <c r="H276"/>
  <c r="G276"/>
  <c r="I276" s="1"/>
  <c r="F276"/>
  <c r="E276"/>
  <c r="I275"/>
  <c r="H275"/>
  <c r="F275"/>
  <c r="E275"/>
  <c r="I274"/>
  <c r="F274"/>
  <c r="I273"/>
  <c r="F273"/>
  <c r="I272"/>
  <c r="F272"/>
  <c r="I271"/>
  <c r="F271"/>
  <c r="H270"/>
  <c r="G270"/>
  <c r="I270" s="1"/>
  <c r="E270"/>
  <c r="F270" s="1"/>
  <c r="H269"/>
  <c r="I269" s="1"/>
  <c r="E269"/>
  <c r="F269" s="1"/>
  <c r="H268"/>
  <c r="I268" s="1"/>
  <c r="E268"/>
  <c r="F268" s="1"/>
  <c r="H267"/>
  <c r="I267" s="1"/>
  <c r="E267"/>
  <c r="F267" s="1"/>
  <c r="I266"/>
  <c r="H266"/>
  <c r="F266"/>
  <c r="E266"/>
  <c r="I265"/>
  <c r="H265"/>
  <c r="I264"/>
  <c r="G264"/>
  <c r="E264"/>
  <c r="D264"/>
  <c r="F264" s="1"/>
  <c r="H263"/>
  <c r="G263"/>
  <c r="I263" s="1"/>
  <c r="E263"/>
  <c r="D263"/>
  <c r="F263" s="1"/>
  <c r="H262"/>
  <c r="H281" s="1"/>
  <c r="G262"/>
  <c r="I262" s="1"/>
  <c r="E262"/>
  <c r="E281" s="1"/>
  <c r="D262"/>
  <c r="F262" s="1"/>
  <c r="G261"/>
  <c r="G281" s="1"/>
  <c r="I281" s="1"/>
  <c r="D261"/>
  <c r="D281" s="1"/>
  <c r="F281" s="1"/>
  <c r="H258"/>
  <c r="G258"/>
  <c r="I258" s="1"/>
  <c r="E258"/>
  <c r="D258"/>
  <c r="F258" s="1"/>
  <c r="H257"/>
  <c r="H259" s="1"/>
  <c r="G257"/>
  <c r="G259" s="1"/>
  <c r="E257"/>
  <c r="E259" s="1"/>
  <c r="D257"/>
  <c r="D259" s="1"/>
  <c r="F259" s="1"/>
  <c r="H255"/>
  <c r="G255"/>
  <c r="I255" s="1"/>
  <c r="E255"/>
  <c r="D255"/>
  <c r="F255" s="1"/>
  <c r="I254"/>
  <c r="F254"/>
  <c r="H251"/>
  <c r="I251" s="1"/>
  <c r="F251"/>
  <c r="E251"/>
  <c r="H250"/>
  <c r="G250"/>
  <c r="I250" s="1"/>
  <c r="E250"/>
  <c r="D250"/>
  <c r="F250" s="1"/>
  <c r="H249"/>
  <c r="G249"/>
  <c r="I249" s="1"/>
  <c r="F249"/>
  <c r="E249"/>
  <c r="D249"/>
  <c r="I248"/>
  <c r="F248"/>
  <c r="I247"/>
  <c r="F247"/>
  <c r="I246"/>
  <c r="F246"/>
  <c r="I245"/>
  <c r="F245"/>
  <c r="I244"/>
  <c r="G244"/>
  <c r="F244"/>
  <c r="I243"/>
  <c r="F243"/>
  <c r="I242"/>
  <c r="F242"/>
  <c r="I241"/>
  <c r="F241"/>
  <c r="I240"/>
  <c r="F240"/>
  <c r="I239"/>
  <c r="F239"/>
  <c r="I238"/>
  <c r="F238"/>
  <c r="H237"/>
  <c r="I237" s="1"/>
  <c r="F237"/>
  <c r="I236"/>
  <c r="F236"/>
  <c r="I235"/>
  <c r="F235"/>
  <c r="I234"/>
  <c r="F234"/>
  <c r="I233"/>
  <c r="F233"/>
  <c r="I232"/>
  <c r="F232"/>
  <c r="I231"/>
  <c r="F231"/>
  <c r="I230"/>
  <c r="F230"/>
  <c r="I229"/>
  <c r="F229"/>
  <c r="I228"/>
  <c r="F228"/>
  <c r="I227"/>
  <c r="F227"/>
  <c r="I226"/>
  <c r="F226"/>
  <c r="I225"/>
  <c r="F225"/>
  <c r="I224"/>
  <c r="F224"/>
  <c r="I223"/>
  <c r="F223"/>
  <c r="I222"/>
  <c r="H222"/>
  <c r="F222"/>
  <c r="I221"/>
  <c r="F221"/>
  <c r="I220"/>
  <c r="F220"/>
  <c r="I219"/>
  <c r="F219"/>
  <c r="I218"/>
  <c r="F218"/>
  <c r="G217"/>
  <c r="I217" s="1"/>
  <c r="D217"/>
  <c r="F217" s="1"/>
  <c r="G216"/>
  <c r="I216" s="1"/>
  <c r="D216"/>
  <c r="F216" s="1"/>
  <c r="I215"/>
  <c r="G215"/>
  <c r="F215"/>
  <c r="D215"/>
  <c r="I214"/>
  <c r="G214"/>
  <c r="F214"/>
  <c r="D214"/>
  <c r="H213"/>
  <c r="G213"/>
  <c r="I213" s="1"/>
  <c r="D213"/>
  <c r="F213" s="1"/>
  <c r="I212"/>
  <c r="F212"/>
  <c r="D212"/>
  <c r="I211"/>
  <c r="F211"/>
  <c r="I210"/>
  <c r="F210"/>
  <c r="I209"/>
  <c r="F209"/>
  <c r="I208"/>
  <c r="F208"/>
  <c r="I207"/>
  <c r="F207"/>
  <c r="I206"/>
  <c r="F206"/>
  <c r="I205"/>
  <c r="F205"/>
  <c r="I204"/>
  <c r="E204"/>
  <c r="D204"/>
  <c r="F204" s="1"/>
  <c r="I203"/>
  <c r="F203"/>
  <c r="I202"/>
  <c r="E202"/>
  <c r="F202" s="1"/>
  <c r="I201"/>
  <c r="F201"/>
  <c r="I200"/>
  <c r="F200"/>
  <c r="H199"/>
  <c r="H252" s="1"/>
  <c r="G199"/>
  <c r="G252" s="1"/>
  <c r="I252" s="1"/>
  <c r="E199"/>
  <c r="E252" s="1"/>
  <c r="D199"/>
  <c r="D252" s="1"/>
  <c r="F252" s="1"/>
  <c r="I196"/>
  <c r="F196"/>
  <c r="I195"/>
  <c r="F195"/>
  <c r="I194"/>
  <c r="F194"/>
  <c r="I193"/>
  <c r="F193"/>
  <c r="I192"/>
  <c r="F192"/>
  <c r="I191"/>
  <c r="F191"/>
  <c r="I190"/>
  <c r="F190"/>
  <c r="H189"/>
  <c r="G189"/>
  <c r="I189" s="1"/>
  <c r="E189"/>
  <c r="F189" s="1"/>
  <c r="I188"/>
  <c r="F188"/>
  <c r="I187"/>
  <c r="F187"/>
  <c r="I186"/>
  <c r="E186"/>
  <c r="F186" s="1"/>
  <c r="I185"/>
  <c r="F185"/>
  <c r="I184"/>
  <c r="F184"/>
  <c r="D184"/>
  <c r="I183"/>
  <c r="F183"/>
  <c r="I182"/>
  <c r="F182"/>
  <c r="I181"/>
  <c r="F181"/>
  <c r="I180"/>
  <c r="F180"/>
  <c r="I179"/>
  <c r="D179"/>
  <c r="D197" s="1"/>
  <c r="F197" s="1"/>
  <c r="I178"/>
  <c r="F178"/>
  <c r="H177"/>
  <c r="G177"/>
  <c r="G197" s="1"/>
  <c r="F177"/>
  <c r="H176"/>
  <c r="H197" s="1"/>
  <c r="E176"/>
  <c r="E197" s="1"/>
  <c r="I175"/>
  <c r="F175"/>
  <c r="I174"/>
  <c r="F174"/>
  <c r="I171"/>
  <c r="F171"/>
  <c r="I170"/>
  <c r="F170"/>
  <c r="I169"/>
  <c r="F169"/>
  <c r="I168"/>
  <c r="F168"/>
  <c r="I167"/>
  <c r="F167"/>
  <c r="I166"/>
  <c r="F166"/>
  <c r="I165"/>
  <c r="F165"/>
  <c r="E165"/>
  <c r="I164"/>
  <c r="G164"/>
  <c r="F164"/>
  <c r="D164"/>
  <c r="I163"/>
  <c r="F163"/>
  <c r="I162"/>
  <c r="F162"/>
  <c r="I161"/>
  <c r="F161"/>
  <c r="I160"/>
  <c r="F160"/>
  <c r="I159"/>
  <c r="F159"/>
  <c r="I158"/>
  <c r="F158"/>
  <c r="I157"/>
  <c r="F157"/>
  <c r="H156"/>
  <c r="H172" s="1"/>
  <c r="G156"/>
  <c r="I156" s="1"/>
  <c r="E156"/>
  <c r="D156"/>
  <c r="F156" s="1"/>
  <c r="I155"/>
  <c r="F155"/>
  <c r="I154"/>
  <c r="E154"/>
  <c r="E172" s="1"/>
  <c r="D154"/>
  <c r="D172" s="1"/>
  <c r="I153"/>
  <c r="F153"/>
  <c r="I152"/>
  <c r="F152"/>
  <c r="H149"/>
  <c r="G149"/>
  <c r="I149" s="1"/>
  <c r="E149"/>
  <c r="D149"/>
  <c r="F149" s="1"/>
  <c r="I148"/>
  <c r="F148"/>
  <c r="I147"/>
  <c r="F147"/>
  <c r="H146"/>
  <c r="I146" s="1"/>
  <c r="E146"/>
  <c r="F146" s="1"/>
  <c r="I145"/>
  <c r="H145"/>
  <c r="F145"/>
  <c r="E145"/>
  <c r="I144"/>
  <c r="E144"/>
  <c r="D144"/>
  <c r="F144" s="1"/>
  <c r="I143"/>
  <c r="F143"/>
  <c r="I142"/>
  <c r="F142"/>
  <c r="I141"/>
  <c r="F141"/>
  <c r="H140"/>
  <c r="I140" s="1"/>
  <c r="F140"/>
  <c r="E140"/>
  <c r="I139"/>
  <c r="F139"/>
  <c r="I138"/>
  <c r="E138"/>
  <c r="D138"/>
  <c r="F138" s="1"/>
  <c r="I137"/>
  <c r="F137"/>
  <c r="I136"/>
  <c r="F136"/>
  <c r="I135"/>
  <c r="F135"/>
  <c r="I134"/>
  <c r="F134"/>
  <c r="I133"/>
  <c r="G133"/>
  <c r="G150" s="1"/>
  <c r="F133"/>
  <c r="D133"/>
  <c r="I132"/>
  <c r="E132"/>
  <c r="E150" s="1"/>
  <c r="I131"/>
  <c r="F131"/>
  <c r="D131"/>
  <c r="D150" s="1"/>
  <c r="I130"/>
  <c r="F130"/>
  <c r="H128"/>
  <c r="G128"/>
  <c r="I128" s="1"/>
  <c r="E128"/>
  <c r="D128"/>
  <c r="F128" s="1"/>
  <c r="I127"/>
  <c r="F127"/>
  <c r="H125"/>
  <c r="G125"/>
  <c r="I125" s="1"/>
  <c r="E125"/>
  <c r="D125"/>
  <c r="F125" s="1"/>
  <c r="I124"/>
  <c r="F124"/>
  <c r="I121"/>
  <c r="F121"/>
  <c r="I120"/>
  <c r="F120"/>
  <c r="E120"/>
  <c r="H119"/>
  <c r="H122" s="1"/>
  <c r="G119"/>
  <c r="G122" s="1"/>
  <c r="I122" s="1"/>
  <c r="E119"/>
  <c r="E122" s="1"/>
  <c r="D119"/>
  <c r="F119" s="1"/>
  <c r="I118"/>
  <c r="F118"/>
  <c r="I115"/>
  <c r="F115"/>
  <c r="I114"/>
  <c r="F114"/>
  <c r="I113"/>
  <c r="F113"/>
  <c r="I112"/>
  <c r="F112"/>
  <c r="I111"/>
  <c r="F111"/>
  <c r="I110"/>
  <c r="F110"/>
  <c r="I109"/>
  <c r="E109"/>
  <c r="D109"/>
  <c r="F109" s="1"/>
  <c r="H108"/>
  <c r="H116" s="1"/>
  <c r="G108"/>
  <c r="G116" s="1"/>
  <c r="E108"/>
  <c r="E116" s="1"/>
  <c r="D108"/>
  <c r="D116" s="1"/>
  <c r="I107"/>
  <c r="F107"/>
  <c r="G105"/>
  <c r="I104"/>
  <c r="H104"/>
  <c r="F104"/>
  <c r="I103"/>
  <c r="F103"/>
  <c r="I102"/>
  <c r="F102"/>
  <c r="I101"/>
  <c r="F101"/>
  <c r="I100"/>
  <c r="F100"/>
  <c r="H99"/>
  <c r="H105" s="1"/>
  <c r="E99"/>
  <c r="E105" s="1"/>
  <c r="D99"/>
  <c r="D105" s="1"/>
  <c r="F105" s="1"/>
  <c r="I98"/>
  <c r="F98"/>
  <c r="I97"/>
  <c r="F97"/>
  <c r="I96"/>
  <c r="F96"/>
  <c r="I95"/>
  <c r="F95"/>
  <c r="I94"/>
  <c r="F94"/>
  <c r="I93"/>
  <c r="F93"/>
  <c r="I92"/>
  <c r="F92"/>
  <c r="I91"/>
  <c r="F91"/>
  <c r="E89"/>
  <c r="D89"/>
  <c r="F89" s="1"/>
  <c r="I88"/>
  <c r="F88"/>
  <c r="I87"/>
  <c r="F87"/>
  <c r="H86"/>
  <c r="G86"/>
  <c r="I86" s="1"/>
  <c r="F86"/>
  <c r="I85"/>
  <c r="F85"/>
  <c r="I84"/>
  <c r="F84"/>
  <c r="I83"/>
  <c r="F83"/>
  <c r="I82"/>
  <c r="F82"/>
  <c r="I81"/>
  <c r="F81"/>
  <c r="I80"/>
  <c r="F80"/>
  <c r="H79"/>
  <c r="H89" s="1"/>
  <c r="G79"/>
  <c r="G89" s="1"/>
  <c r="F79"/>
  <c r="G77"/>
  <c r="I76"/>
  <c r="H76"/>
  <c r="H77" s="1"/>
  <c r="E76"/>
  <c r="E77" s="1"/>
  <c r="D76"/>
  <c r="D77" s="1"/>
  <c r="H73"/>
  <c r="G73"/>
  <c r="I73" s="1"/>
  <c r="E73"/>
  <c r="E74" s="1"/>
  <c r="D73"/>
  <c r="D74" s="1"/>
  <c r="H72"/>
  <c r="H74" s="1"/>
  <c r="G72"/>
  <c r="G74" s="1"/>
  <c r="D72"/>
  <c r="F72" s="1"/>
  <c r="E42"/>
  <c r="D41"/>
  <c r="F40"/>
  <c r="F43" s="1"/>
  <c r="E35"/>
  <c r="D34"/>
  <c r="F36" s="1"/>
  <c r="F33"/>
  <c r="E30"/>
  <c r="E44" s="1"/>
  <c r="D29"/>
  <c r="D37" s="1"/>
  <c r="F28"/>
  <c r="E43" i="8"/>
  <c r="D42"/>
  <c r="F44" s="1"/>
  <c r="F41"/>
  <c r="D38"/>
  <c r="E36"/>
  <c r="D35"/>
  <c r="F34"/>
  <c r="F37" s="1"/>
  <c r="E31"/>
  <c r="E38" s="1"/>
  <c r="D30"/>
  <c r="D45" s="1"/>
  <c r="F29"/>
  <c r="F32" s="1"/>
  <c r="F38" s="1"/>
  <c r="F45" s="1"/>
  <c r="I317"/>
  <c r="I316"/>
  <c r="I315"/>
  <c r="I314"/>
  <c r="I312"/>
  <c r="I311"/>
  <c r="I310"/>
  <c r="I309"/>
  <c r="I308"/>
  <c r="I307"/>
  <c r="I305"/>
  <c r="I304"/>
  <c r="I303"/>
  <c r="I301"/>
  <c r="I318" s="1"/>
  <c r="I295"/>
  <c r="I294"/>
  <c r="I293"/>
  <c r="I292"/>
  <c r="I290"/>
  <c r="I296" s="1"/>
  <c r="H280"/>
  <c r="G280"/>
  <c r="I280" s="1"/>
  <c r="E280"/>
  <c r="D280"/>
  <c r="F280" s="1"/>
  <c r="I279"/>
  <c r="H279"/>
  <c r="E279"/>
  <c r="D279"/>
  <c r="F279" s="1"/>
  <c r="H278"/>
  <c r="I278" s="1"/>
  <c r="E278"/>
  <c r="D278"/>
  <c r="F278" s="1"/>
  <c r="I277"/>
  <c r="H277"/>
  <c r="E277"/>
  <c r="D277"/>
  <c r="F277" s="1"/>
  <c r="G276"/>
  <c r="I276" s="1"/>
  <c r="E276"/>
  <c r="D276"/>
  <c r="F276" s="1"/>
  <c r="I275"/>
  <c r="I274"/>
  <c r="I273"/>
  <c r="I272"/>
  <c r="I271"/>
  <c r="H271"/>
  <c r="E271"/>
  <c r="D271"/>
  <c r="F271" s="1"/>
  <c r="H270"/>
  <c r="I270" s="1"/>
  <c r="E270"/>
  <c r="F270" s="1"/>
  <c r="H269"/>
  <c r="I269" s="1"/>
  <c r="E269"/>
  <c r="F269" s="1"/>
  <c r="I268"/>
  <c r="H268"/>
  <c r="F268"/>
  <c r="E268"/>
  <c r="I267"/>
  <c r="H267"/>
  <c r="F267"/>
  <c r="E267"/>
  <c r="I266"/>
  <c r="H266"/>
  <c r="F266"/>
  <c r="E266"/>
  <c r="I265"/>
  <c r="H265"/>
  <c r="F265"/>
  <c r="E265"/>
  <c r="H264"/>
  <c r="G264"/>
  <c r="I264" s="1"/>
  <c r="E264"/>
  <c r="D264"/>
  <c r="F264" s="1"/>
  <c r="H263"/>
  <c r="G263"/>
  <c r="I263" s="1"/>
  <c r="E263"/>
  <c r="D263"/>
  <c r="F263" s="1"/>
  <c r="H262"/>
  <c r="H281" s="1"/>
  <c r="G262"/>
  <c r="I262" s="1"/>
  <c r="E262"/>
  <c r="D262"/>
  <c r="F262" s="1"/>
  <c r="I261"/>
  <c r="G261"/>
  <c r="G281" s="1"/>
  <c r="E261"/>
  <c r="E281" s="1"/>
  <c r="D261"/>
  <c r="D281" s="1"/>
  <c r="H258"/>
  <c r="G258"/>
  <c r="I258" s="1"/>
  <c r="E258"/>
  <c r="D258"/>
  <c r="F258" s="1"/>
  <c r="H257"/>
  <c r="H259" s="1"/>
  <c r="G257"/>
  <c r="G259" s="1"/>
  <c r="I259" s="1"/>
  <c r="E257"/>
  <c r="E259" s="1"/>
  <c r="D257"/>
  <c r="D259" s="1"/>
  <c r="F259" s="1"/>
  <c r="H255"/>
  <c r="G255"/>
  <c r="I255" s="1"/>
  <c r="E255"/>
  <c r="D255"/>
  <c r="F255" s="1"/>
  <c r="I254"/>
  <c r="F254"/>
  <c r="H251"/>
  <c r="I251" s="1"/>
  <c r="F251"/>
  <c r="E251"/>
  <c r="H250"/>
  <c r="G250"/>
  <c r="I250" s="1"/>
  <c r="E250"/>
  <c r="D250"/>
  <c r="F250" s="1"/>
  <c r="H249"/>
  <c r="G249"/>
  <c r="I249" s="1"/>
  <c r="F249"/>
  <c r="E249"/>
  <c r="D249"/>
  <c r="I248"/>
  <c r="F248"/>
  <c r="I247"/>
  <c r="F247"/>
  <c r="I246"/>
  <c r="F246"/>
  <c r="I245"/>
  <c r="F245"/>
  <c r="I244"/>
  <c r="F244"/>
  <c r="I243"/>
  <c r="F243"/>
  <c r="I242"/>
  <c r="F242"/>
  <c r="I241"/>
  <c r="F241"/>
  <c r="I240"/>
  <c r="F240"/>
  <c r="I239"/>
  <c r="F239"/>
  <c r="I238"/>
  <c r="F238"/>
  <c r="I237"/>
  <c r="F237"/>
  <c r="I236"/>
  <c r="F236"/>
  <c r="I235"/>
  <c r="F235"/>
  <c r="I234"/>
  <c r="F234"/>
  <c r="I233"/>
  <c r="F233"/>
  <c r="I232"/>
  <c r="F232"/>
  <c r="I231"/>
  <c r="F231"/>
  <c r="I230"/>
  <c r="F230"/>
  <c r="I229"/>
  <c r="F229"/>
  <c r="I228"/>
  <c r="F228"/>
  <c r="I227"/>
  <c r="F227"/>
  <c r="I226"/>
  <c r="F226"/>
  <c r="I225"/>
  <c r="F225"/>
  <c r="I224"/>
  <c r="F224"/>
  <c r="I223"/>
  <c r="F223"/>
  <c r="I222"/>
  <c r="F222"/>
  <c r="I221"/>
  <c r="F221"/>
  <c r="I220"/>
  <c r="F220"/>
  <c r="I219"/>
  <c r="F219"/>
  <c r="I218"/>
  <c r="F218"/>
  <c r="I217"/>
  <c r="G217"/>
  <c r="F217"/>
  <c r="D217"/>
  <c r="I216"/>
  <c r="G216"/>
  <c r="F216"/>
  <c r="D216"/>
  <c r="I215"/>
  <c r="G215"/>
  <c r="F215"/>
  <c r="D215"/>
  <c r="I214"/>
  <c r="G214"/>
  <c r="F214"/>
  <c r="D214"/>
  <c r="I213"/>
  <c r="G213"/>
  <c r="F213"/>
  <c r="D213"/>
  <c r="I212"/>
  <c r="G212"/>
  <c r="F212"/>
  <c r="D212"/>
  <c r="I211"/>
  <c r="D211"/>
  <c r="F211" s="1"/>
  <c r="I210"/>
  <c r="F210"/>
  <c r="D210"/>
  <c r="I209"/>
  <c r="F209"/>
  <c r="I208"/>
  <c r="F208"/>
  <c r="I207"/>
  <c r="F207"/>
  <c r="I206"/>
  <c r="F206"/>
  <c r="I205"/>
  <c r="F205"/>
  <c r="H204"/>
  <c r="G204"/>
  <c r="I204" s="1"/>
  <c r="F204"/>
  <c r="I203"/>
  <c r="F203"/>
  <c r="I202"/>
  <c r="H202"/>
  <c r="F202"/>
  <c r="I201"/>
  <c r="F201"/>
  <c r="D201"/>
  <c r="I200"/>
  <c r="F200"/>
  <c r="H199"/>
  <c r="H252" s="1"/>
  <c r="G199"/>
  <c r="G252" s="1"/>
  <c r="I252" s="1"/>
  <c r="E199"/>
  <c r="E252" s="1"/>
  <c r="D199"/>
  <c r="D252" s="1"/>
  <c r="F252" s="1"/>
  <c r="D197"/>
  <c r="I196"/>
  <c r="F196"/>
  <c r="I195"/>
  <c r="F195"/>
  <c r="I194"/>
  <c r="F194"/>
  <c r="I193"/>
  <c r="F193"/>
  <c r="I192"/>
  <c r="F192"/>
  <c r="I191"/>
  <c r="F191"/>
  <c r="I190"/>
  <c r="F190"/>
  <c r="I189"/>
  <c r="H189"/>
  <c r="F189"/>
  <c r="E189"/>
  <c r="I188"/>
  <c r="F188"/>
  <c r="I187"/>
  <c r="F187"/>
  <c r="I186"/>
  <c r="H186"/>
  <c r="F186"/>
  <c r="I185"/>
  <c r="F185"/>
  <c r="G184"/>
  <c r="I184" s="1"/>
  <c r="F184"/>
  <c r="I183"/>
  <c r="F183"/>
  <c r="I182"/>
  <c r="F182"/>
  <c r="I181"/>
  <c r="F181"/>
  <c r="I180"/>
  <c r="F180"/>
  <c r="I179"/>
  <c r="G179"/>
  <c r="G197" s="1"/>
  <c r="F179"/>
  <c r="I178"/>
  <c r="F178"/>
  <c r="I177"/>
  <c r="F177"/>
  <c r="H176"/>
  <c r="H197" s="1"/>
  <c r="E176"/>
  <c r="E197" s="1"/>
  <c r="I175"/>
  <c r="F175"/>
  <c r="I174"/>
  <c r="F174"/>
  <c r="I171"/>
  <c r="F171"/>
  <c r="I170"/>
  <c r="F170"/>
  <c r="I169"/>
  <c r="F169"/>
  <c r="I168"/>
  <c r="F168"/>
  <c r="I167"/>
  <c r="F167"/>
  <c r="I166"/>
  <c r="F166"/>
  <c r="I165"/>
  <c r="H165"/>
  <c r="F165"/>
  <c r="E165"/>
  <c r="I164"/>
  <c r="G164"/>
  <c r="E164"/>
  <c r="D164"/>
  <c r="F164" s="1"/>
  <c r="I163"/>
  <c r="F163"/>
  <c r="E163"/>
  <c r="I162"/>
  <c r="F162"/>
  <c r="I161"/>
  <c r="F161"/>
  <c r="I160"/>
  <c r="E160"/>
  <c r="D160"/>
  <c r="F160" s="1"/>
  <c r="I159"/>
  <c r="F159"/>
  <c r="I158"/>
  <c r="D158"/>
  <c r="F158" s="1"/>
  <c r="I157"/>
  <c r="F157"/>
  <c r="H156"/>
  <c r="G156"/>
  <c r="I156" s="1"/>
  <c r="E156"/>
  <c r="D156"/>
  <c r="F156" s="1"/>
  <c r="I155"/>
  <c r="F155"/>
  <c r="D155"/>
  <c r="H154"/>
  <c r="H172" s="1"/>
  <c r="G154"/>
  <c r="G172" s="1"/>
  <c r="I172" s="1"/>
  <c r="F154"/>
  <c r="I153"/>
  <c r="E153"/>
  <c r="E172" s="1"/>
  <c r="D153"/>
  <c r="D172" s="1"/>
  <c r="F172" s="1"/>
  <c r="I152"/>
  <c r="F152"/>
  <c r="H149"/>
  <c r="G149"/>
  <c r="I149" s="1"/>
  <c r="E149"/>
  <c r="D149"/>
  <c r="F149" s="1"/>
  <c r="I148"/>
  <c r="F148"/>
  <c r="I147"/>
  <c r="F147"/>
  <c r="H146"/>
  <c r="I146" s="1"/>
  <c r="E146"/>
  <c r="D146"/>
  <c r="F146" s="1"/>
  <c r="H145"/>
  <c r="I145" s="1"/>
  <c r="E145"/>
  <c r="F145" s="1"/>
  <c r="H144"/>
  <c r="G144"/>
  <c r="I144" s="1"/>
  <c r="E144"/>
  <c r="D144"/>
  <c r="F144" s="1"/>
  <c r="I143"/>
  <c r="F143"/>
  <c r="I142"/>
  <c r="E142"/>
  <c r="F142" s="1"/>
  <c r="I141"/>
  <c r="F141"/>
  <c r="H140"/>
  <c r="I140" s="1"/>
  <c r="E140"/>
  <c r="D140"/>
  <c r="F140" s="1"/>
  <c r="I139"/>
  <c r="F139"/>
  <c r="D139"/>
  <c r="H138"/>
  <c r="G138"/>
  <c r="I138" s="1"/>
  <c r="F138"/>
  <c r="I137"/>
  <c r="F137"/>
  <c r="I136"/>
  <c r="F136"/>
  <c r="I135"/>
  <c r="F135"/>
  <c r="I134"/>
  <c r="F134"/>
  <c r="I133"/>
  <c r="G133"/>
  <c r="F133"/>
  <c r="D133"/>
  <c r="I132"/>
  <c r="H132"/>
  <c r="H150" s="1"/>
  <c r="F132"/>
  <c r="E132"/>
  <c r="I131"/>
  <c r="G131"/>
  <c r="G150" s="1"/>
  <c r="I150" s="1"/>
  <c r="E131"/>
  <c r="E150" s="1"/>
  <c r="D131"/>
  <c r="D150" s="1"/>
  <c r="F150" s="1"/>
  <c r="I130"/>
  <c r="F130"/>
  <c r="H128"/>
  <c r="G128"/>
  <c r="I128" s="1"/>
  <c r="E128"/>
  <c r="D128"/>
  <c r="F128" s="1"/>
  <c r="I127"/>
  <c r="F127"/>
  <c r="H125"/>
  <c r="G125"/>
  <c r="I125" s="1"/>
  <c r="E125"/>
  <c r="D125"/>
  <c r="F125" s="1"/>
  <c r="I124"/>
  <c r="F124"/>
  <c r="I121"/>
  <c r="F121"/>
  <c r="H120"/>
  <c r="I120" s="1"/>
  <c r="F120"/>
  <c r="E120"/>
  <c r="H119"/>
  <c r="H122" s="1"/>
  <c r="G119"/>
  <c r="G122" s="1"/>
  <c r="E119"/>
  <c r="E122" s="1"/>
  <c r="D119"/>
  <c r="D122" s="1"/>
  <c r="I118"/>
  <c r="F118"/>
  <c r="I115"/>
  <c r="F115"/>
  <c r="I114"/>
  <c r="F114"/>
  <c r="I113"/>
  <c r="F113"/>
  <c r="I112"/>
  <c r="F112"/>
  <c r="I111"/>
  <c r="F111"/>
  <c r="D111"/>
  <c r="I110"/>
  <c r="F110"/>
  <c r="H109"/>
  <c r="G109"/>
  <c r="I109" s="1"/>
  <c r="E109"/>
  <c r="D109"/>
  <c r="F109" s="1"/>
  <c r="H108"/>
  <c r="H116" s="1"/>
  <c r="G108"/>
  <c r="G116" s="1"/>
  <c r="I116" s="1"/>
  <c r="E108"/>
  <c r="E116" s="1"/>
  <c r="D108"/>
  <c r="F108" s="1"/>
  <c r="I107"/>
  <c r="F107"/>
  <c r="I104"/>
  <c r="E104"/>
  <c r="D104"/>
  <c r="F104" s="1"/>
  <c r="I103"/>
  <c r="F103"/>
  <c r="I102"/>
  <c r="F102"/>
  <c r="I101"/>
  <c r="F101"/>
  <c r="I100"/>
  <c r="F100"/>
  <c r="H99"/>
  <c r="H105" s="1"/>
  <c r="G99"/>
  <c r="G105" s="1"/>
  <c r="E99"/>
  <c r="E105" s="1"/>
  <c r="D99"/>
  <c r="D105" s="1"/>
  <c r="I98"/>
  <c r="F98"/>
  <c r="I97"/>
  <c r="F97"/>
  <c r="I96"/>
  <c r="F96"/>
  <c r="I95"/>
  <c r="F95"/>
  <c r="I94"/>
  <c r="F94"/>
  <c r="I93"/>
  <c r="F93"/>
  <c r="I92"/>
  <c r="F92"/>
  <c r="I91"/>
  <c r="F91"/>
  <c r="H89"/>
  <c r="G89"/>
  <c r="I89" s="1"/>
  <c r="I88"/>
  <c r="F88"/>
  <c r="I87"/>
  <c r="F87"/>
  <c r="I86"/>
  <c r="F86"/>
  <c r="I85"/>
  <c r="F85"/>
  <c r="I84"/>
  <c r="F84"/>
  <c r="E84"/>
  <c r="I83"/>
  <c r="F83"/>
  <c r="I82"/>
  <c r="F82"/>
  <c r="I81"/>
  <c r="F81"/>
  <c r="I80"/>
  <c r="F80"/>
  <c r="I79"/>
  <c r="E79"/>
  <c r="E89" s="1"/>
  <c r="D79"/>
  <c r="D89" s="1"/>
  <c r="H76"/>
  <c r="H77" s="1"/>
  <c r="G76"/>
  <c r="G77" s="1"/>
  <c r="E76"/>
  <c r="E77" s="1"/>
  <c r="D76"/>
  <c r="D77" s="1"/>
  <c r="H73"/>
  <c r="H74" s="1"/>
  <c r="G73"/>
  <c r="G74" s="1"/>
  <c r="I72"/>
  <c r="G72"/>
  <c r="E72"/>
  <c r="E73" s="1"/>
  <c r="E74" s="1"/>
  <c r="D72"/>
  <c r="D73" s="1"/>
  <c r="D74" s="1"/>
  <c r="I305" i="7"/>
  <c r="I304"/>
  <c r="I303"/>
  <c r="I302"/>
  <c r="I306" s="1"/>
  <c r="I301"/>
  <c r="I294"/>
  <c r="I293"/>
  <c r="I295" s="1"/>
  <c r="H281"/>
  <c r="G281"/>
  <c r="I281" s="1"/>
  <c r="E281"/>
  <c r="D281"/>
  <c r="F281" s="1"/>
  <c r="H280"/>
  <c r="G280"/>
  <c r="I280" s="1"/>
  <c r="E280"/>
  <c r="D280"/>
  <c r="F280" s="1"/>
  <c r="H279"/>
  <c r="G279"/>
  <c r="I279" s="1"/>
  <c r="E279"/>
  <c r="D279"/>
  <c r="F279" s="1"/>
  <c r="H278"/>
  <c r="G278"/>
  <c r="I278" s="1"/>
  <c r="F278"/>
  <c r="E278"/>
  <c r="I277"/>
  <c r="H277"/>
  <c r="E277"/>
  <c r="D277"/>
  <c r="F277" s="1"/>
  <c r="H276"/>
  <c r="G276"/>
  <c r="I276" s="1"/>
  <c r="F276"/>
  <c r="D276"/>
  <c r="H275"/>
  <c r="G275"/>
  <c r="I275" s="1"/>
  <c r="E275"/>
  <c r="F275" s="1"/>
  <c r="H274"/>
  <c r="G274"/>
  <c r="I274" s="1"/>
  <c r="F274"/>
  <c r="E274"/>
  <c r="H273"/>
  <c r="G273"/>
  <c r="I273" s="1"/>
  <c r="E273"/>
  <c r="F273" s="1"/>
  <c r="H272"/>
  <c r="G272"/>
  <c r="I272" s="1"/>
  <c r="F272"/>
  <c r="E272"/>
  <c r="H271"/>
  <c r="G271"/>
  <c r="I271" s="1"/>
  <c r="E271"/>
  <c r="F271" s="1"/>
  <c r="H270"/>
  <c r="G270"/>
  <c r="I270" s="1"/>
  <c r="F270"/>
  <c r="E270"/>
  <c r="H269"/>
  <c r="G269"/>
  <c r="I269" s="1"/>
  <c r="E269"/>
  <c r="F269" s="1"/>
  <c r="H268"/>
  <c r="G268"/>
  <c r="I268" s="1"/>
  <c r="F268"/>
  <c r="E268"/>
  <c r="I267"/>
  <c r="H267"/>
  <c r="F267"/>
  <c r="E267"/>
  <c r="I266"/>
  <c r="H266"/>
  <c r="E266"/>
  <c r="D266"/>
  <c r="F266" s="1"/>
  <c r="H265"/>
  <c r="G265"/>
  <c r="I265" s="1"/>
  <c r="F265"/>
  <c r="E265"/>
  <c r="H264"/>
  <c r="G264"/>
  <c r="I264" s="1"/>
  <c r="E264"/>
  <c r="F264" s="1"/>
  <c r="H263"/>
  <c r="I263" s="1"/>
  <c r="E263"/>
  <c r="F263" s="1"/>
  <c r="H262"/>
  <c r="I262" s="1"/>
  <c r="E262"/>
  <c r="D262"/>
  <c r="F262" s="1"/>
  <c r="I261"/>
  <c r="H261"/>
  <c r="F261"/>
  <c r="E261"/>
  <c r="H260"/>
  <c r="G260"/>
  <c r="I260" s="1"/>
  <c r="E260"/>
  <c r="D260"/>
  <c r="F260" s="1"/>
  <c r="H259"/>
  <c r="G259"/>
  <c r="I259" s="1"/>
  <c r="E259"/>
  <c r="D259"/>
  <c r="F259" s="1"/>
  <c r="H258"/>
  <c r="G258"/>
  <c r="I258" s="1"/>
  <c r="E258"/>
  <c r="D258"/>
  <c r="F258" s="1"/>
  <c r="H257"/>
  <c r="H282" s="1"/>
  <c r="G257"/>
  <c r="G282" s="1"/>
  <c r="E257"/>
  <c r="E282" s="1"/>
  <c r="D257"/>
  <c r="F257" s="1"/>
  <c r="H254"/>
  <c r="G254"/>
  <c r="I254" s="1"/>
  <c r="F254"/>
  <c r="H253"/>
  <c r="H255" s="1"/>
  <c r="G253"/>
  <c r="G255" s="1"/>
  <c r="E253"/>
  <c r="E255" s="1"/>
  <c r="D253"/>
  <c r="D255" s="1"/>
  <c r="H251"/>
  <c r="G251"/>
  <c r="I251" s="1"/>
  <c r="E251"/>
  <c r="D251"/>
  <c r="F251" s="1"/>
  <c r="I250"/>
  <c r="F250"/>
  <c r="H247"/>
  <c r="I247" s="1"/>
  <c r="E247"/>
  <c r="F247" s="1"/>
  <c r="H246"/>
  <c r="G246"/>
  <c r="I246" s="1"/>
  <c r="E246"/>
  <c r="D246"/>
  <c r="F246" s="1"/>
  <c r="H245"/>
  <c r="G245"/>
  <c r="I245" s="1"/>
  <c r="F245"/>
  <c r="E245"/>
  <c r="D245"/>
  <c r="I244"/>
  <c r="F244"/>
  <c r="E244"/>
  <c r="I243"/>
  <c r="F243"/>
  <c r="E243"/>
  <c r="D243"/>
  <c r="I242"/>
  <c r="F242"/>
  <c r="E242"/>
  <c r="I241"/>
  <c r="E241"/>
  <c r="F241" s="1"/>
  <c r="I240"/>
  <c r="E240"/>
  <c r="F240" s="1"/>
  <c r="I239"/>
  <c r="E239"/>
  <c r="D239"/>
  <c r="F239" s="1"/>
  <c r="I238"/>
  <c r="E238"/>
  <c r="F238" s="1"/>
  <c r="I237"/>
  <c r="E237"/>
  <c r="D237"/>
  <c r="F237" s="1"/>
  <c r="I236"/>
  <c r="E236"/>
  <c r="D236"/>
  <c r="F236" s="1"/>
  <c r="I235"/>
  <c r="E235"/>
  <c r="D235"/>
  <c r="F235" s="1"/>
  <c r="I234"/>
  <c r="F234"/>
  <c r="D234"/>
  <c r="I233"/>
  <c r="D233"/>
  <c r="F233" s="1"/>
  <c r="I232"/>
  <c r="E232"/>
  <c r="D232"/>
  <c r="F232" s="1"/>
  <c r="I231"/>
  <c r="E231"/>
  <c r="D231"/>
  <c r="F231" s="1"/>
  <c r="I230"/>
  <c r="E230"/>
  <c r="D230"/>
  <c r="F230" s="1"/>
  <c r="I229"/>
  <c r="E229"/>
  <c r="D229"/>
  <c r="F229" s="1"/>
  <c r="I228"/>
  <c r="E228"/>
  <c r="D228"/>
  <c r="F228" s="1"/>
  <c r="I227"/>
  <c r="F227"/>
  <c r="E227"/>
  <c r="I226"/>
  <c r="D226"/>
  <c r="F226" s="1"/>
  <c r="I225"/>
  <c r="F225"/>
  <c r="E225"/>
  <c r="I224"/>
  <c r="E224"/>
  <c r="D224"/>
  <c r="F224" s="1"/>
  <c r="I223"/>
  <c r="D223"/>
  <c r="F223" s="1"/>
  <c r="I222"/>
  <c r="E222"/>
  <c r="D222"/>
  <c r="F222" s="1"/>
  <c r="I221"/>
  <c r="E221"/>
  <c r="F221" s="1"/>
  <c r="I220"/>
  <c r="E220"/>
  <c r="D220"/>
  <c r="F220" s="1"/>
  <c r="I219"/>
  <c r="E219"/>
  <c r="F219" s="1"/>
  <c r="I218"/>
  <c r="F218"/>
  <c r="I217"/>
  <c r="E217"/>
  <c r="D217"/>
  <c r="F217" s="1"/>
  <c r="I216"/>
  <c r="D216"/>
  <c r="F216" s="1"/>
  <c r="I215"/>
  <c r="F215"/>
  <c r="I214"/>
  <c r="E214"/>
  <c r="D214"/>
  <c r="F214" s="1"/>
  <c r="I213"/>
  <c r="G213"/>
  <c r="F213"/>
  <c r="D213"/>
  <c r="I212"/>
  <c r="G212"/>
  <c r="F212"/>
  <c r="D212"/>
  <c r="I211"/>
  <c r="G211"/>
  <c r="F211"/>
  <c r="D211"/>
  <c r="I210"/>
  <c r="G210"/>
  <c r="F210"/>
  <c r="D210"/>
  <c r="I209"/>
  <c r="G209"/>
  <c r="F209"/>
  <c r="D209"/>
  <c r="I208"/>
  <c r="G208"/>
  <c r="F208"/>
  <c r="G207"/>
  <c r="I207" s="1"/>
  <c r="E207"/>
  <c r="D207"/>
  <c r="F207" s="1"/>
  <c r="I206"/>
  <c r="G206"/>
  <c r="E206"/>
  <c r="D206"/>
  <c r="F206" s="1"/>
  <c r="I205"/>
  <c r="E205"/>
  <c r="D205"/>
  <c r="F205" s="1"/>
  <c r="I204"/>
  <c r="E204"/>
  <c r="D204"/>
  <c r="F204" s="1"/>
  <c r="I203"/>
  <c r="E203"/>
  <c r="D203"/>
  <c r="F203" s="1"/>
  <c r="I202"/>
  <c r="E202"/>
  <c r="D202"/>
  <c r="F202" s="1"/>
  <c r="I201"/>
  <c r="F201"/>
  <c r="I200"/>
  <c r="E200"/>
  <c r="D200"/>
  <c r="F200" s="1"/>
  <c r="I199"/>
  <c r="E199"/>
  <c r="D199"/>
  <c r="F199" s="1"/>
  <c r="I198"/>
  <c r="F198"/>
  <c r="G197"/>
  <c r="I197" s="1"/>
  <c r="D197"/>
  <c r="F197" s="1"/>
  <c r="I196"/>
  <c r="F196"/>
  <c r="H195"/>
  <c r="H248" s="1"/>
  <c r="G195"/>
  <c r="I195" s="1"/>
  <c r="E195"/>
  <c r="E248" s="1"/>
  <c r="D195"/>
  <c r="D248" s="1"/>
  <c r="G193"/>
  <c r="I192"/>
  <c r="E192"/>
  <c r="D192"/>
  <c r="F192" s="1"/>
  <c r="I191"/>
  <c r="E191"/>
  <c r="D191"/>
  <c r="F191" s="1"/>
  <c r="I190"/>
  <c r="E190"/>
  <c r="D190"/>
  <c r="F190" s="1"/>
  <c r="I189"/>
  <c r="E189"/>
  <c r="D189"/>
  <c r="F189" s="1"/>
  <c r="I188"/>
  <c r="E188"/>
  <c r="D188"/>
  <c r="F188" s="1"/>
  <c r="I187"/>
  <c r="E187"/>
  <c r="D187"/>
  <c r="F187" s="1"/>
  <c r="I186"/>
  <c r="E186"/>
  <c r="D186"/>
  <c r="F186" s="1"/>
  <c r="H185"/>
  <c r="I185" s="1"/>
  <c r="E185"/>
  <c r="F185" s="1"/>
  <c r="I184"/>
  <c r="F184"/>
  <c r="I183"/>
  <c r="F183"/>
  <c r="D183"/>
  <c r="I182"/>
  <c r="E182"/>
  <c r="D182"/>
  <c r="F182" s="1"/>
  <c r="I181"/>
  <c r="E181"/>
  <c r="D181"/>
  <c r="F181" s="1"/>
  <c r="I180"/>
  <c r="E180"/>
  <c r="F180" s="1"/>
  <c r="I179"/>
  <c r="E179"/>
  <c r="D179"/>
  <c r="F179" s="1"/>
  <c r="I178"/>
  <c r="E178"/>
  <c r="D178"/>
  <c r="F178" s="1"/>
  <c r="I177"/>
  <c r="E177"/>
  <c r="D177"/>
  <c r="F177" s="1"/>
  <c r="I176"/>
  <c r="E176"/>
  <c r="D176"/>
  <c r="F176" s="1"/>
  <c r="I175"/>
  <c r="F175"/>
  <c r="E175"/>
  <c r="I174"/>
  <c r="E174"/>
  <c r="D174"/>
  <c r="F174" s="1"/>
  <c r="I173"/>
  <c r="E173"/>
  <c r="D173"/>
  <c r="F173" s="1"/>
  <c r="I172"/>
  <c r="H172"/>
  <c r="H193" s="1"/>
  <c r="E172"/>
  <c r="E193" s="1"/>
  <c r="D172"/>
  <c r="F172" s="1"/>
  <c r="I171"/>
  <c r="F171"/>
  <c r="D171"/>
  <c r="D193" s="1"/>
  <c r="F193" s="1"/>
  <c r="I170"/>
  <c r="F170"/>
  <c r="I167"/>
  <c r="F167"/>
  <c r="I166"/>
  <c r="F166"/>
  <c r="I165"/>
  <c r="F165"/>
  <c r="I164"/>
  <c r="D164"/>
  <c r="F164" s="1"/>
  <c r="I163"/>
  <c r="D163"/>
  <c r="F163" s="1"/>
  <c r="I162"/>
  <c r="D162"/>
  <c r="F162" s="1"/>
  <c r="I161"/>
  <c r="H161"/>
  <c r="E161"/>
  <c r="D161"/>
  <c r="F161" s="1"/>
  <c r="H160"/>
  <c r="G160"/>
  <c r="I160" s="1"/>
  <c r="F160"/>
  <c r="D160"/>
  <c r="I159"/>
  <c r="H159"/>
  <c r="F159"/>
  <c r="I158"/>
  <c r="F158"/>
  <c r="I157"/>
  <c r="F157"/>
  <c r="H156"/>
  <c r="G156"/>
  <c r="I156" s="1"/>
  <c r="F156"/>
  <c r="I155"/>
  <c r="F155"/>
  <c r="G154"/>
  <c r="I154" s="1"/>
  <c r="F154"/>
  <c r="I153"/>
  <c r="F153"/>
  <c r="H152"/>
  <c r="G152"/>
  <c r="I152" s="1"/>
  <c r="E152"/>
  <c r="D152"/>
  <c r="D168" s="1"/>
  <c r="F168" s="1"/>
  <c r="G151"/>
  <c r="I151" s="1"/>
  <c r="F151"/>
  <c r="E151"/>
  <c r="E168" s="1"/>
  <c r="I150"/>
  <c r="F150"/>
  <c r="H149"/>
  <c r="H168" s="1"/>
  <c r="G149"/>
  <c r="I149" s="1"/>
  <c r="F149"/>
  <c r="I148"/>
  <c r="F148"/>
  <c r="H145"/>
  <c r="G145"/>
  <c r="I145" s="1"/>
  <c r="F145"/>
  <c r="I144"/>
  <c r="F144"/>
  <c r="I143"/>
  <c r="F143"/>
  <c r="H142"/>
  <c r="G142"/>
  <c r="I142" s="1"/>
  <c r="E142"/>
  <c r="F142" s="1"/>
  <c r="H141"/>
  <c r="I141" s="1"/>
  <c r="E141"/>
  <c r="F141" s="1"/>
  <c r="H140"/>
  <c r="G140"/>
  <c r="I140" s="1"/>
  <c r="F140"/>
  <c r="I139"/>
  <c r="F139"/>
  <c r="I138"/>
  <c r="H138"/>
  <c r="F138"/>
  <c r="E138"/>
  <c r="I137"/>
  <c r="E137"/>
  <c r="F137" s="1"/>
  <c r="H136"/>
  <c r="G136"/>
  <c r="I136" s="1"/>
  <c r="F136"/>
  <c r="E136"/>
  <c r="I135"/>
  <c r="G135"/>
  <c r="F135"/>
  <c r="D135"/>
  <c r="I134"/>
  <c r="F134"/>
  <c r="I133"/>
  <c r="F133"/>
  <c r="I132"/>
  <c r="F132"/>
  <c r="I131"/>
  <c r="E131"/>
  <c r="D131"/>
  <c r="F131" s="1"/>
  <c r="I130"/>
  <c r="F130"/>
  <c r="I129"/>
  <c r="G129"/>
  <c r="F129"/>
  <c r="D129"/>
  <c r="I128"/>
  <c r="H128"/>
  <c r="F128"/>
  <c r="E128"/>
  <c r="E146" s="1"/>
  <c r="H127"/>
  <c r="H146" s="1"/>
  <c r="G127"/>
  <c r="G146" s="1"/>
  <c r="I146" s="1"/>
  <c r="D127"/>
  <c r="F127" s="1"/>
  <c r="I126"/>
  <c r="F126"/>
  <c r="H124"/>
  <c r="G124"/>
  <c r="I124" s="1"/>
  <c r="E124"/>
  <c r="D124"/>
  <c r="F124" s="1"/>
  <c r="I123"/>
  <c r="F123"/>
  <c r="H121"/>
  <c r="G121"/>
  <c r="I121" s="1"/>
  <c r="E121"/>
  <c r="D121"/>
  <c r="F121" s="1"/>
  <c r="I120"/>
  <c r="F120"/>
  <c r="I117"/>
  <c r="F117"/>
  <c r="H116"/>
  <c r="I116" s="1"/>
  <c r="E116"/>
  <c r="F116" s="1"/>
  <c r="H115"/>
  <c r="H118" s="1"/>
  <c r="G115"/>
  <c r="G118" s="1"/>
  <c r="E115"/>
  <c r="E118" s="1"/>
  <c r="D115"/>
  <c r="D118" s="1"/>
  <c r="I114"/>
  <c r="F114"/>
  <c r="I111"/>
  <c r="F111"/>
  <c r="I110"/>
  <c r="F110"/>
  <c r="I109"/>
  <c r="F109"/>
  <c r="I108"/>
  <c r="F108"/>
  <c r="G107"/>
  <c r="I107" s="1"/>
  <c r="F107"/>
  <c r="I106"/>
  <c r="F106"/>
  <c r="H105"/>
  <c r="G105"/>
  <c r="I105" s="1"/>
  <c r="E105"/>
  <c r="D105"/>
  <c r="F105" s="1"/>
  <c r="H104"/>
  <c r="H112" s="1"/>
  <c r="G104"/>
  <c r="G112" s="1"/>
  <c r="E104"/>
  <c r="E112" s="1"/>
  <c r="D104"/>
  <c r="F104" s="1"/>
  <c r="I103"/>
  <c r="F103"/>
  <c r="H100"/>
  <c r="G100"/>
  <c r="I100" s="1"/>
  <c r="F100"/>
  <c r="I99"/>
  <c r="E99"/>
  <c r="E101" s="1"/>
  <c r="D99"/>
  <c r="D101" s="1"/>
  <c r="I98"/>
  <c r="F98"/>
  <c r="I97"/>
  <c r="F97"/>
  <c r="I96"/>
  <c r="F96"/>
  <c r="H95"/>
  <c r="H101" s="1"/>
  <c r="G95"/>
  <c r="G101" s="1"/>
  <c r="I101" s="1"/>
  <c r="F95"/>
  <c r="I94"/>
  <c r="F94"/>
  <c r="I93"/>
  <c r="F93"/>
  <c r="I92"/>
  <c r="F92"/>
  <c r="I91"/>
  <c r="F91"/>
  <c r="I90"/>
  <c r="F90"/>
  <c r="I89"/>
  <c r="F89"/>
  <c r="I88"/>
  <c r="F88"/>
  <c r="I87"/>
  <c r="F87"/>
  <c r="D85"/>
  <c r="I84"/>
  <c r="F84"/>
  <c r="I83"/>
  <c r="F83"/>
  <c r="I82"/>
  <c r="F82"/>
  <c r="I81"/>
  <c r="F81"/>
  <c r="H80"/>
  <c r="I80" s="1"/>
  <c r="E80"/>
  <c r="E85" s="1"/>
  <c r="I79"/>
  <c r="F79"/>
  <c r="I78"/>
  <c r="F78"/>
  <c r="I77"/>
  <c r="F77"/>
  <c r="I76"/>
  <c r="F76"/>
  <c r="H75"/>
  <c r="H85" s="1"/>
  <c r="G75"/>
  <c r="G85" s="1"/>
  <c r="I85" s="1"/>
  <c r="F75"/>
  <c r="D73"/>
  <c r="H72"/>
  <c r="H73" s="1"/>
  <c r="G72"/>
  <c r="G73" s="1"/>
  <c r="I73" s="1"/>
  <c r="E72"/>
  <c r="F72" s="1"/>
  <c r="E42"/>
  <c r="D41"/>
  <c r="F40"/>
  <c r="F43" s="1"/>
  <c r="E35"/>
  <c r="D34"/>
  <c r="F36" s="1"/>
  <c r="F33"/>
  <c r="E30"/>
  <c r="E37" s="1"/>
  <c r="D29"/>
  <c r="D44" s="1"/>
  <c r="F28"/>
  <c r="F31" s="1"/>
  <c r="F37" s="1"/>
  <c r="F44" s="1"/>
  <c r="I340" i="6"/>
  <c r="I339"/>
  <c r="I338"/>
  <c r="I337"/>
  <c r="I336"/>
  <c r="I335"/>
  <c r="I333"/>
  <c r="I332"/>
  <c r="I331"/>
  <c r="I330"/>
  <c r="I329"/>
  <c r="I328"/>
  <c r="I327"/>
  <c r="I326"/>
  <c r="I325"/>
  <c r="I324"/>
  <c r="I323"/>
  <c r="I322"/>
  <c r="I321"/>
  <c r="I320"/>
  <c r="I319"/>
  <c r="I317"/>
  <c r="I316"/>
  <c r="I315"/>
  <c r="I314"/>
  <c r="I313"/>
  <c r="I312"/>
  <c r="I311"/>
  <c r="I309"/>
  <c r="I341" s="1"/>
  <c r="I303"/>
  <c r="I302"/>
  <c r="I301"/>
  <c r="I300"/>
  <c r="I299"/>
  <c r="I298"/>
  <c r="I297"/>
  <c r="I296"/>
  <c r="I294"/>
  <c r="I293"/>
  <c r="I304" s="1"/>
  <c r="H284"/>
  <c r="G284"/>
  <c r="I284" s="1"/>
  <c r="E284"/>
  <c r="D284"/>
  <c r="F284" s="1"/>
  <c r="I283"/>
  <c r="H283"/>
  <c r="E283"/>
  <c r="D283"/>
  <c r="F283" s="1"/>
  <c r="H282"/>
  <c r="G282"/>
  <c r="I282" s="1"/>
  <c r="E282"/>
  <c r="D282"/>
  <c r="F282" s="1"/>
  <c r="G281"/>
  <c r="I281" s="1"/>
  <c r="E281"/>
  <c r="D281"/>
  <c r="F281" s="1"/>
  <c r="I280"/>
  <c r="H280"/>
  <c r="E280"/>
  <c r="D280"/>
  <c r="F280" s="1"/>
  <c r="H279"/>
  <c r="I279" s="1"/>
  <c r="E279"/>
  <c r="D279"/>
  <c r="F279" s="1"/>
  <c r="I278"/>
  <c r="H278"/>
  <c r="E278"/>
  <c r="D278"/>
  <c r="F278" s="1"/>
  <c r="H277"/>
  <c r="I277" s="1"/>
  <c r="E277"/>
  <c r="D277"/>
  <c r="F277" s="1"/>
  <c r="I276"/>
  <c r="H276"/>
  <c r="E276"/>
  <c r="D276"/>
  <c r="F276" s="1"/>
  <c r="H275"/>
  <c r="I275" s="1"/>
  <c r="E275"/>
  <c r="D275"/>
  <c r="F275" s="1"/>
  <c r="H274"/>
  <c r="I274" s="1"/>
  <c r="E274"/>
  <c r="D274"/>
  <c r="F274" s="1"/>
  <c r="H273"/>
  <c r="I273" s="1"/>
  <c r="E273"/>
  <c r="D273"/>
  <c r="F273" s="1"/>
  <c r="I272"/>
  <c r="H272"/>
  <c r="E272"/>
  <c r="D272"/>
  <c r="F272" s="1"/>
  <c r="H271"/>
  <c r="G271"/>
  <c r="I271" s="1"/>
  <c r="E271"/>
  <c r="D271"/>
  <c r="F271" s="1"/>
  <c r="I270"/>
  <c r="H270"/>
  <c r="E270"/>
  <c r="D270"/>
  <c r="F270" s="1"/>
  <c r="H269"/>
  <c r="I269" s="1"/>
  <c r="E269"/>
  <c r="D269"/>
  <c r="F269" s="1"/>
  <c r="I268"/>
  <c r="H268"/>
  <c r="E268"/>
  <c r="D268"/>
  <c r="F268" s="1"/>
  <c r="H267"/>
  <c r="G267"/>
  <c r="I267" s="1"/>
  <c r="F267"/>
  <c r="E267"/>
  <c r="H266"/>
  <c r="G266"/>
  <c r="I266" s="1"/>
  <c r="E266"/>
  <c r="F266" s="1"/>
  <c r="H265"/>
  <c r="G265"/>
  <c r="I265" s="1"/>
  <c r="F265"/>
  <c r="E265"/>
  <c r="H264"/>
  <c r="G264"/>
  <c r="I264" s="1"/>
  <c r="D264"/>
  <c r="F264" s="1"/>
  <c r="H263"/>
  <c r="G263"/>
  <c r="I263" s="1"/>
  <c r="F263"/>
  <c r="D263"/>
  <c r="H262"/>
  <c r="G262"/>
  <c r="I262" s="1"/>
  <c r="E262"/>
  <c r="F262" s="1"/>
  <c r="H261"/>
  <c r="G261"/>
  <c r="I261" s="1"/>
  <c r="F261"/>
  <c r="D261"/>
  <c r="I260"/>
  <c r="H260"/>
  <c r="F260"/>
  <c r="E260"/>
  <c r="H259"/>
  <c r="G259"/>
  <c r="I259" s="1"/>
  <c r="E259"/>
  <c r="D259"/>
  <c r="F259" s="1"/>
  <c r="H258"/>
  <c r="G258"/>
  <c r="I258" s="1"/>
  <c r="E258"/>
  <c r="D258"/>
  <c r="F258" s="1"/>
  <c r="H257"/>
  <c r="G257"/>
  <c r="I257" s="1"/>
  <c r="E257"/>
  <c r="D257"/>
  <c r="F257" s="1"/>
  <c r="H256"/>
  <c r="H285" s="1"/>
  <c r="G256"/>
  <c r="G285" s="1"/>
  <c r="E256"/>
  <c r="E285" s="1"/>
  <c r="D256"/>
  <c r="F256" s="1"/>
  <c r="G254"/>
  <c r="E254"/>
  <c r="I253"/>
  <c r="H252"/>
  <c r="H254" s="1"/>
  <c r="G252"/>
  <c r="I252" s="1"/>
  <c r="E252"/>
  <c r="D252"/>
  <c r="D254" s="1"/>
  <c r="F254" s="1"/>
  <c r="H250"/>
  <c r="G250"/>
  <c r="I250" s="1"/>
  <c r="E250"/>
  <c r="D250"/>
  <c r="F250" s="1"/>
  <c r="I249"/>
  <c r="F249"/>
  <c r="H246"/>
  <c r="I246" s="1"/>
  <c r="E246"/>
  <c r="F246" s="1"/>
  <c r="H245"/>
  <c r="G245"/>
  <c r="I245" s="1"/>
  <c r="E245"/>
  <c r="D245"/>
  <c r="F245" s="1"/>
  <c r="H244"/>
  <c r="G244"/>
  <c r="I244" s="1"/>
  <c r="F244"/>
  <c r="D244"/>
  <c r="H243"/>
  <c r="I243" s="1"/>
  <c r="F243"/>
  <c r="E243"/>
  <c r="H242"/>
  <c r="G242"/>
  <c r="I242" s="1"/>
  <c r="F242"/>
  <c r="E242"/>
  <c r="H241"/>
  <c r="I241" s="1"/>
  <c r="F241"/>
  <c r="E241"/>
  <c r="H240"/>
  <c r="I240" s="1"/>
  <c r="F240"/>
  <c r="E240"/>
  <c r="I239"/>
  <c r="H239"/>
  <c r="F239"/>
  <c r="E239"/>
  <c r="H238"/>
  <c r="G238"/>
  <c r="I238" s="1"/>
  <c r="E238"/>
  <c r="D238"/>
  <c r="F238" s="1"/>
  <c r="I237"/>
  <c r="H237"/>
  <c r="E237"/>
  <c r="D237"/>
  <c r="F237" s="1"/>
  <c r="H236"/>
  <c r="G236"/>
  <c r="I236" s="1"/>
  <c r="E236"/>
  <c r="D236"/>
  <c r="F236" s="1"/>
  <c r="H235"/>
  <c r="G235"/>
  <c r="I235" s="1"/>
  <c r="E235"/>
  <c r="D235"/>
  <c r="F235" s="1"/>
  <c r="H234"/>
  <c r="G234"/>
  <c r="I234" s="1"/>
  <c r="F234"/>
  <c r="D234"/>
  <c r="I233"/>
  <c r="G233"/>
  <c r="E233"/>
  <c r="D233"/>
  <c r="F233" s="1"/>
  <c r="G232"/>
  <c r="I232" s="1"/>
  <c r="D232"/>
  <c r="F232" s="1"/>
  <c r="H231"/>
  <c r="G231"/>
  <c r="I231" s="1"/>
  <c r="E231"/>
  <c r="D231"/>
  <c r="F231" s="1"/>
  <c r="H230"/>
  <c r="G230"/>
  <c r="I230" s="1"/>
  <c r="E230"/>
  <c r="D230"/>
  <c r="F230" s="1"/>
  <c r="H229"/>
  <c r="G229"/>
  <c r="I229" s="1"/>
  <c r="E229"/>
  <c r="D229"/>
  <c r="F229" s="1"/>
  <c r="H228"/>
  <c r="G228"/>
  <c r="I228" s="1"/>
  <c r="E228"/>
  <c r="D228"/>
  <c r="F228" s="1"/>
  <c r="H227"/>
  <c r="G227"/>
  <c r="I227" s="1"/>
  <c r="E227"/>
  <c r="D227"/>
  <c r="F227" s="1"/>
  <c r="H226"/>
  <c r="I226" s="1"/>
  <c r="E226"/>
  <c r="D226"/>
  <c r="F226" s="1"/>
  <c r="I225"/>
  <c r="G225"/>
  <c r="E225"/>
  <c r="D225"/>
  <c r="F225" s="1"/>
  <c r="H224"/>
  <c r="I224" s="1"/>
  <c r="E224"/>
  <c r="D224"/>
  <c r="F224" s="1"/>
  <c r="H223"/>
  <c r="G223"/>
  <c r="I223" s="1"/>
  <c r="E223"/>
  <c r="D223"/>
  <c r="F223" s="1"/>
  <c r="I222"/>
  <c r="G222"/>
  <c r="E222"/>
  <c r="D222"/>
  <c r="F222" s="1"/>
  <c r="H221"/>
  <c r="G221"/>
  <c r="I221" s="1"/>
  <c r="E221"/>
  <c r="D221"/>
  <c r="F221" s="1"/>
  <c r="H220"/>
  <c r="I220" s="1"/>
  <c r="E220"/>
  <c r="F220" s="1"/>
  <c r="H219"/>
  <c r="G219"/>
  <c r="I219" s="1"/>
  <c r="E219"/>
  <c r="D219"/>
  <c r="F219" s="1"/>
  <c r="H218"/>
  <c r="I218" s="1"/>
  <c r="E218"/>
  <c r="D218"/>
  <c r="F218" s="1"/>
  <c r="I217"/>
  <c r="E217"/>
  <c r="D217"/>
  <c r="F217" s="1"/>
  <c r="H216"/>
  <c r="G216"/>
  <c r="I216" s="1"/>
  <c r="E216"/>
  <c r="D216"/>
  <c r="F216" s="1"/>
  <c r="G215"/>
  <c r="I215" s="1"/>
  <c r="D215"/>
  <c r="F215" s="1"/>
  <c r="I214"/>
  <c r="F214"/>
  <c r="H213"/>
  <c r="G213"/>
  <c r="I213" s="1"/>
  <c r="E213"/>
  <c r="D213"/>
  <c r="F213" s="1"/>
  <c r="G212"/>
  <c r="I212" s="1"/>
  <c r="F212"/>
  <c r="D212"/>
  <c r="I211"/>
  <c r="G211"/>
  <c r="E211"/>
  <c r="D211"/>
  <c r="F211" s="1"/>
  <c r="G210"/>
  <c r="I210" s="1"/>
  <c r="D210"/>
  <c r="F210" s="1"/>
  <c r="I209"/>
  <c r="G209"/>
  <c r="E209"/>
  <c r="D209"/>
  <c r="F209" s="1"/>
  <c r="G208"/>
  <c r="I208" s="1"/>
  <c r="F208"/>
  <c r="D208"/>
  <c r="I207"/>
  <c r="E207"/>
  <c r="D207"/>
  <c r="F207" s="1"/>
  <c r="H206"/>
  <c r="G206"/>
  <c r="I206" s="1"/>
  <c r="E206"/>
  <c r="D206"/>
  <c r="F206" s="1"/>
  <c r="H205"/>
  <c r="G205"/>
  <c r="I205" s="1"/>
  <c r="E205"/>
  <c r="D205"/>
  <c r="F205" s="1"/>
  <c r="H204"/>
  <c r="G204"/>
  <c r="I204" s="1"/>
  <c r="E204"/>
  <c r="D204"/>
  <c r="F204" s="1"/>
  <c r="H203"/>
  <c r="G203"/>
  <c r="I203" s="1"/>
  <c r="E203"/>
  <c r="D203"/>
  <c r="F203" s="1"/>
  <c r="H202"/>
  <c r="G202"/>
  <c r="I202" s="1"/>
  <c r="E202"/>
  <c r="D202"/>
  <c r="F202" s="1"/>
  <c r="H201"/>
  <c r="G201"/>
  <c r="I201" s="1"/>
  <c r="E201"/>
  <c r="D201"/>
  <c r="F201" s="1"/>
  <c r="I200"/>
  <c r="E200"/>
  <c r="D200"/>
  <c r="F200" s="1"/>
  <c r="H199"/>
  <c r="G199"/>
  <c r="I199" s="1"/>
  <c r="E199"/>
  <c r="D199"/>
  <c r="F199" s="1"/>
  <c r="H198"/>
  <c r="G198"/>
  <c r="I198" s="1"/>
  <c r="E198"/>
  <c r="D198"/>
  <c r="F198" s="1"/>
  <c r="I197"/>
  <c r="F197"/>
  <c r="E197"/>
  <c r="I196"/>
  <c r="G196"/>
  <c r="F196"/>
  <c r="D196"/>
  <c r="I195"/>
  <c r="F195"/>
  <c r="H194"/>
  <c r="H247" s="1"/>
  <c r="G194"/>
  <c r="G247" s="1"/>
  <c r="E194"/>
  <c r="E247" s="1"/>
  <c r="D194"/>
  <c r="F194" s="1"/>
  <c r="H191"/>
  <c r="G191"/>
  <c r="I191" s="1"/>
  <c r="E191"/>
  <c r="D191"/>
  <c r="F191" s="1"/>
  <c r="H190"/>
  <c r="G190"/>
  <c r="I190" s="1"/>
  <c r="E190"/>
  <c r="D190"/>
  <c r="F190" s="1"/>
  <c r="H189"/>
  <c r="G189"/>
  <c r="I189" s="1"/>
  <c r="E189"/>
  <c r="D189"/>
  <c r="F189" s="1"/>
  <c r="H188"/>
  <c r="G188"/>
  <c r="I188" s="1"/>
  <c r="E188"/>
  <c r="D188"/>
  <c r="F188" s="1"/>
  <c r="H187"/>
  <c r="G187"/>
  <c r="I187" s="1"/>
  <c r="E187"/>
  <c r="D187"/>
  <c r="F187" s="1"/>
  <c r="H186"/>
  <c r="G186"/>
  <c r="I186" s="1"/>
  <c r="E186"/>
  <c r="D186"/>
  <c r="F186" s="1"/>
  <c r="H185"/>
  <c r="G185"/>
  <c r="I185" s="1"/>
  <c r="E185"/>
  <c r="D185"/>
  <c r="F185" s="1"/>
  <c r="H184"/>
  <c r="I184" s="1"/>
  <c r="F184"/>
  <c r="E184"/>
  <c r="I183"/>
  <c r="F183"/>
  <c r="I182"/>
  <c r="G182"/>
  <c r="F182"/>
  <c r="H181"/>
  <c r="G181"/>
  <c r="I181" s="1"/>
  <c r="E181"/>
  <c r="D181"/>
  <c r="F181" s="1"/>
  <c r="H180"/>
  <c r="G180"/>
  <c r="I180" s="1"/>
  <c r="E180"/>
  <c r="D180"/>
  <c r="F180" s="1"/>
  <c r="H179"/>
  <c r="I179" s="1"/>
  <c r="E179"/>
  <c r="F179" s="1"/>
  <c r="H178"/>
  <c r="G178"/>
  <c r="I178" s="1"/>
  <c r="E178"/>
  <c r="D178"/>
  <c r="F178" s="1"/>
  <c r="H177"/>
  <c r="G177"/>
  <c r="I177" s="1"/>
  <c r="E177"/>
  <c r="D177"/>
  <c r="F177" s="1"/>
  <c r="H176"/>
  <c r="G176"/>
  <c r="I176" s="1"/>
  <c r="E176"/>
  <c r="D176"/>
  <c r="F176" s="1"/>
  <c r="H175"/>
  <c r="G175"/>
  <c r="I175" s="1"/>
  <c r="E175"/>
  <c r="D175"/>
  <c r="F175" s="1"/>
  <c r="I174"/>
  <c r="H174"/>
  <c r="F174"/>
  <c r="E174"/>
  <c r="H173"/>
  <c r="G173"/>
  <c r="I173" s="1"/>
  <c r="E173"/>
  <c r="D173"/>
  <c r="F173" s="1"/>
  <c r="H172"/>
  <c r="G172"/>
  <c r="I172" s="1"/>
  <c r="E172"/>
  <c r="D172"/>
  <c r="F172" s="1"/>
  <c r="H171"/>
  <c r="H192" s="1"/>
  <c r="G171"/>
  <c r="I171" s="1"/>
  <c r="E171"/>
  <c r="E192" s="1"/>
  <c r="D171"/>
  <c r="F171" s="1"/>
  <c r="G170"/>
  <c r="I170" s="1"/>
  <c r="F170"/>
  <c r="D170"/>
  <c r="D192" s="1"/>
  <c r="F192" s="1"/>
  <c r="I169"/>
  <c r="F169"/>
  <c r="I166"/>
  <c r="F166"/>
  <c r="I165"/>
  <c r="E165"/>
  <c r="D165"/>
  <c r="F165" s="1"/>
  <c r="I164"/>
  <c r="E164"/>
  <c r="D164"/>
  <c r="F164" s="1"/>
  <c r="I163"/>
  <c r="G163"/>
  <c r="F163"/>
  <c r="D163"/>
  <c r="I162"/>
  <c r="G162"/>
  <c r="F162"/>
  <c r="D162"/>
  <c r="I161"/>
  <c r="G161"/>
  <c r="F161"/>
  <c r="D161"/>
  <c r="H160"/>
  <c r="G160"/>
  <c r="I160" s="1"/>
  <c r="E160"/>
  <c r="D160"/>
  <c r="F160" s="1"/>
  <c r="I159"/>
  <c r="G159"/>
  <c r="F159"/>
  <c r="D159"/>
  <c r="I158"/>
  <c r="E158"/>
  <c r="D158"/>
  <c r="F158" s="1"/>
  <c r="I157"/>
  <c r="E157"/>
  <c r="D157"/>
  <c r="F157" s="1"/>
  <c r="I156"/>
  <c r="F156"/>
  <c r="I155"/>
  <c r="F155"/>
  <c r="I154"/>
  <c r="F154"/>
  <c r="I153"/>
  <c r="F153"/>
  <c r="I152"/>
  <c r="F152"/>
  <c r="H151"/>
  <c r="G151"/>
  <c r="G167" s="1"/>
  <c r="I167" s="1"/>
  <c r="F151"/>
  <c r="I150"/>
  <c r="H150"/>
  <c r="H167" s="1"/>
  <c r="E150"/>
  <c r="E167" s="1"/>
  <c r="D150"/>
  <c r="F150" s="1"/>
  <c r="I149"/>
  <c r="F149"/>
  <c r="I148"/>
  <c r="F148"/>
  <c r="I147"/>
  <c r="F147"/>
  <c r="I144"/>
  <c r="F144"/>
  <c r="I143"/>
  <c r="F143"/>
  <c r="E143"/>
  <c r="I142"/>
  <c r="F142"/>
  <c r="I141"/>
  <c r="H141"/>
  <c r="F141"/>
  <c r="E141"/>
  <c r="I140"/>
  <c r="H140"/>
  <c r="F140"/>
  <c r="E140"/>
  <c r="I139"/>
  <c r="F139"/>
  <c r="I138"/>
  <c r="F138"/>
  <c r="I137"/>
  <c r="H137"/>
  <c r="E137"/>
  <c r="D137"/>
  <c r="F137" s="1"/>
  <c r="H136"/>
  <c r="I136" s="1"/>
  <c r="E136"/>
  <c r="F136" s="1"/>
  <c r="H135"/>
  <c r="I135" s="1"/>
  <c r="E135"/>
  <c r="F135" s="1"/>
  <c r="I134"/>
  <c r="G134"/>
  <c r="F134"/>
  <c r="D134"/>
  <c r="I133"/>
  <c r="F133"/>
  <c r="I132"/>
  <c r="F132"/>
  <c r="I131"/>
  <c r="F131"/>
  <c r="H130"/>
  <c r="G130"/>
  <c r="I130" s="1"/>
  <c r="E130"/>
  <c r="D130"/>
  <c r="F130" s="1"/>
  <c r="I129"/>
  <c r="F129"/>
  <c r="I128"/>
  <c r="G128"/>
  <c r="E128"/>
  <c r="D128"/>
  <c r="F128" s="1"/>
  <c r="H127"/>
  <c r="H145" s="1"/>
  <c r="E127"/>
  <c r="F127" s="1"/>
  <c r="I126"/>
  <c r="G126"/>
  <c r="G145" s="1"/>
  <c r="I145" s="1"/>
  <c r="F126"/>
  <c r="D126"/>
  <c r="D145" s="1"/>
  <c r="I125"/>
  <c r="F125"/>
  <c r="H123"/>
  <c r="G123"/>
  <c r="I123" s="1"/>
  <c r="E123"/>
  <c r="D123"/>
  <c r="F123" s="1"/>
  <c r="I122"/>
  <c r="F122"/>
  <c r="H120"/>
  <c r="G120"/>
  <c r="I120" s="1"/>
  <c r="E120"/>
  <c r="D120"/>
  <c r="F120" s="1"/>
  <c r="I119"/>
  <c r="F119"/>
  <c r="I116"/>
  <c r="F116"/>
  <c r="I115"/>
  <c r="H115"/>
  <c r="F115"/>
  <c r="E115"/>
  <c r="H114"/>
  <c r="H117" s="1"/>
  <c r="G114"/>
  <c r="G117" s="1"/>
  <c r="I117" s="1"/>
  <c r="E114"/>
  <c r="E117" s="1"/>
  <c r="D114"/>
  <c r="D117" s="1"/>
  <c r="F117" s="1"/>
  <c r="I113"/>
  <c r="F113"/>
  <c r="I110"/>
  <c r="F110"/>
  <c r="I109"/>
  <c r="F109"/>
  <c r="I108"/>
  <c r="F108"/>
  <c r="I107"/>
  <c r="F107"/>
  <c r="I106"/>
  <c r="F106"/>
  <c r="I105"/>
  <c r="F105"/>
  <c r="H104"/>
  <c r="G104"/>
  <c r="I104" s="1"/>
  <c r="E104"/>
  <c r="D104"/>
  <c r="F104" s="1"/>
  <c r="H103"/>
  <c r="H111" s="1"/>
  <c r="G103"/>
  <c r="G111" s="1"/>
  <c r="I111" s="1"/>
  <c r="E103"/>
  <c r="E111" s="1"/>
  <c r="D103"/>
  <c r="D111" s="1"/>
  <c r="F111" s="1"/>
  <c r="I102"/>
  <c r="F102"/>
  <c r="I99"/>
  <c r="F99"/>
  <c r="H98"/>
  <c r="H100" s="1"/>
  <c r="G98"/>
  <c r="G100" s="1"/>
  <c r="I100" s="1"/>
  <c r="F98"/>
  <c r="I97"/>
  <c r="F97"/>
  <c r="I96"/>
  <c r="F96"/>
  <c r="I95"/>
  <c r="F95"/>
  <c r="I94"/>
  <c r="E94"/>
  <c r="E100" s="1"/>
  <c r="D94"/>
  <c r="D100" s="1"/>
  <c r="F100" s="1"/>
  <c r="I93"/>
  <c r="F93"/>
  <c r="I92"/>
  <c r="F92"/>
  <c r="I91"/>
  <c r="F91"/>
  <c r="I90"/>
  <c r="F90"/>
  <c r="I89"/>
  <c r="F89"/>
  <c r="I88"/>
  <c r="F88"/>
  <c r="I87"/>
  <c r="F87"/>
  <c r="I86"/>
  <c r="F86"/>
  <c r="G84"/>
  <c r="I83"/>
  <c r="F83"/>
  <c r="I82"/>
  <c r="F82"/>
  <c r="I81"/>
  <c r="E81"/>
  <c r="D81"/>
  <c r="D84" s="1"/>
  <c r="I80"/>
  <c r="F80"/>
  <c r="I79"/>
  <c r="H79"/>
  <c r="H84" s="1"/>
  <c r="F79"/>
  <c r="E79"/>
  <c r="E84" s="1"/>
  <c r="I78"/>
  <c r="F78"/>
  <c r="I77"/>
  <c r="F77"/>
  <c r="I76"/>
  <c r="F76"/>
  <c r="I75"/>
  <c r="F75"/>
  <c r="I74"/>
  <c r="F74"/>
  <c r="G72"/>
  <c r="D72"/>
  <c r="F72" s="1"/>
  <c r="H71"/>
  <c r="I71" s="1"/>
  <c r="F71"/>
  <c r="E71"/>
  <c r="E72" s="1"/>
  <c r="E42"/>
  <c r="D41"/>
  <c r="F40"/>
  <c r="F43" s="1"/>
  <c r="E37"/>
  <c r="E35"/>
  <c r="D34"/>
  <c r="F36" s="1"/>
  <c r="F33"/>
  <c r="E30"/>
  <c r="E44" s="1"/>
  <c r="D29"/>
  <c r="D44" s="1"/>
  <c r="F28"/>
  <c r="I317" i="5"/>
  <c r="I287"/>
  <c r="I284"/>
  <c r="I283"/>
  <c r="I288" s="1"/>
  <c r="H270"/>
  <c r="G270"/>
  <c r="I270" s="1"/>
  <c r="E270"/>
  <c r="D270"/>
  <c r="F270" s="1"/>
  <c r="I269"/>
  <c r="H269"/>
  <c r="E269"/>
  <c r="D269"/>
  <c r="F269" s="1"/>
  <c r="H268"/>
  <c r="I268" s="1"/>
  <c r="E268"/>
  <c r="D268"/>
  <c r="F268" s="1"/>
  <c r="I267"/>
  <c r="H267"/>
  <c r="E267"/>
  <c r="D267"/>
  <c r="F267" s="1"/>
  <c r="G266"/>
  <c r="I266" s="1"/>
  <c r="E266"/>
  <c r="D266"/>
  <c r="F266" s="1"/>
  <c r="G265"/>
  <c r="I265" s="1"/>
  <c r="E265"/>
  <c r="D265"/>
  <c r="F265" s="1"/>
  <c r="H264"/>
  <c r="I264" s="1"/>
  <c r="E264"/>
  <c r="D264"/>
  <c r="F264" s="1"/>
  <c r="G263"/>
  <c r="I263" s="1"/>
  <c r="D263"/>
  <c r="F263" s="1"/>
  <c r="H262"/>
  <c r="G262"/>
  <c r="I262" s="1"/>
  <c r="E262"/>
  <c r="F262" s="1"/>
  <c r="H261"/>
  <c r="G261"/>
  <c r="I261" s="1"/>
  <c r="F261"/>
  <c r="E261"/>
  <c r="H260"/>
  <c r="G260"/>
  <c r="I260" s="1"/>
  <c r="E260"/>
  <c r="F260" s="1"/>
  <c r="H259"/>
  <c r="I259" s="1"/>
  <c r="E259"/>
  <c r="F259" s="1"/>
  <c r="H258"/>
  <c r="G258"/>
  <c r="I258" s="1"/>
  <c r="E258"/>
  <c r="D258"/>
  <c r="F258" s="1"/>
  <c r="H257"/>
  <c r="G257"/>
  <c r="I257" s="1"/>
  <c r="E257"/>
  <c r="D257"/>
  <c r="F257" s="1"/>
  <c r="H256"/>
  <c r="I321" s="1"/>
  <c r="G256"/>
  <c r="I256" s="1"/>
  <c r="F256"/>
  <c r="E256"/>
  <c r="H255"/>
  <c r="H271" s="1"/>
  <c r="G255"/>
  <c r="G271" s="1"/>
  <c r="E255"/>
  <c r="E271" s="1"/>
  <c r="D255"/>
  <c r="D271" s="1"/>
  <c r="H252"/>
  <c r="H253" s="1"/>
  <c r="G252"/>
  <c r="G253" s="1"/>
  <c r="E252"/>
  <c r="E253" s="1"/>
  <c r="D252"/>
  <c r="D253" s="1"/>
  <c r="H250"/>
  <c r="G250"/>
  <c r="I250" s="1"/>
  <c r="I249"/>
  <c r="E249"/>
  <c r="E250" s="1"/>
  <c r="D249"/>
  <c r="D250" s="1"/>
  <c r="F250" s="1"/>
  <c r="H246"/>
  <c r="I246" s="1"/>
  <c r="F246"/>
  <c r="E246"/>
  <c r="H245"/>
  <c r="G245"/>
  <c r="I245" s="1"/>
  <c r="E245"/>
  <c r="D245"/>
  <c r="F245" s="1"/>
  <c r="I244"/>
  <c r="G244"/>
  <c r="I243"/>
  <c r="H243"/>
  <c r="I242"/>
  <c r="H242"/>
  <c r="E242"/>
  <c r="H241"/>
  <c r="I241" s="1"/>
  <c r="E241"/>
  <c r="I240"/>
  <c r="H240"/>
  <c r="F240"/>
  <c r="E240"/>
  <c r="I239"/>
  <c r="H239"/>
  <c r="F239"/>
  <c r="E239"/>
  <c r="H238"/>
  <c r="G238"/>
  <c r="I238" s="1"/>
  <c r="E238"/>
  <c r="D238"/>
  <c r="F238" s="1"/>
  <c r="H237"/>
  <c r="G237"/>
  <c r="I237" s="1"/>
  <c r="E237"/>
  <c r="D237"/>
  <c r="F237" s="1"/>
  <c r="H236"/>
  <c r="G236"/>
  <c r="I236" s="1"/>
  <c r="E236"/>
  <c r="F236" s="1"/>
  <c r="H235"/>
  <c r="G235"/>
  <c r="I235" s="1"/>
  <c r="E235"/>
  <c r="D235"/>
  <c r="F235" s="1"/>
  <c r="G234"/>
  <c r="I234" s="1"/>
  <c r="E234"/>
  <c r="D234"/>
  <c r="F234" s="1"/>
  <c r="H233"/>
  <c r="G233"/>
  <c r="I233" s="1"/>
  <c r="E233"/>
  <c r="D233"/>
  <c r="F233" s="1"/>
  <c r="I232"/>
  <c r="G232"/>
  <c r="F232"/>
  <c r="D232"/>
  <c r="H231"/>
  <c r="G231"/>
  <c r="I231" s="1"/>
  <c r="E231"/>
  <c r="D231"/>
  <c r="F231" s="1"/>
  <c r="H230"/>
  <c r="G230"/>
  <c r="I230" s="1"/>
  <c r="E230"/>
  <c r="D230"/>
  <c r="F230" s="1"/>
  <c r="H229"/>
  <c r="G229"/>
  <c r="I229" s="1"/>
  <c r="E229"/>
  <c r="D229"/>
  <c r="F229" s="1"/>
  <c r="H228"/>
  <c r="G228"/>
  <c r="I228" s="1"/>
  <c r="E228"/>
  <c r="D228"/>
  <c r="F228" s="1"/>
  <c r="H227"/>
  <c r="G227"/>
  <c r="I227" s="1"/>
  <c r="E227"/>
  <c r="D227"/>
  <c r="F227" s="1"/>
  <c r="H226"/>
  <c r="G226"/>
  <c r="I226" s="1"/>
  <c r="E226"/>
  <c r="F226" s="1"/>
  <c r="H225"/>
  <c r="G225"/>
  <c r="I225" s="1"/>
  <c r="E225"/>
  <c r="D225"/>
  <c r="F225" s="1"/>
  <c r="H224"/>
  <c r="G224"/>
  <c r="I224" s="1"/>
  <c r="E224"/>
  <c r="D224"/>
  <c r="F224" s="1"/>
  <c r="H223"/>
  <c r="G223"/>
  <c r="I223" s="1"/>
  <c r="E223"/>
  <c r="D223"/>
  <c r="F223" s="1"/>
  <c r="H222"/>
  <c r="G222"/>
  <c r="I222" s="1"/>
  <c r="E222"/>
  <c r="D222"/>
  <c r="F222" s="1"/>
  <c r="H221"/>
  <c r="G221"/>
  <c r="I221" s="1"/>
  <c r="E221"/>
  <c r="D221"/>
  <c r="F221" s="1"/>
  <c r="H220"/>
  <c r="I220" s="1"/>
  <c r="E220"/>
  <c r="F220" s="1"/>
  <c r="H219"/>
  <c r="G219"/>
  <c r="I219" s="1"/>
  <c r="E219"/>
  <c r="D219"/>
  <c r="F219" s="1"/>
  <c r="H218"/>
  <c r="G218"/>
  <c r="I218" s="1"/>
  <c r="E218"/>
  <c r="D218"/>
  <c r="F218" s="1"/>
  <c r="H217"/>
  <c r="G217"/>
  <c r="I217" s="1"/>
  <c r="E217"/>
  <c r="D217"/>
  <c r="F217" s="1"/>
  <c r="H216"/>
  <c r="G216"/>
  <c r="I216" s="1"/>
  <c r="E216"/>
  <c r="D216"/>
  <c r="F216" s="1"/>
  <c r="G215"/>
  <c r="I215" s="1"/>
  <c r="D215"/>
  <c r="F215" s="1"/>
  <c r="I214"/>
  <c r="F214"/>
  <c r="H213"/>
  <c r="G213"/>
  <c r="I213" s="1"/>
  <c r="E213"/>
  <c r="D213"/>
  <c r="F213" s="1"/>
  <c r="I212"/>
  <c r="G212"/>
  <c r="F212"/>
  <c r="D212"/>
  <c r="H211"/>
  <c r="G211"/>
  <c r="I211" s="1"/>
  <c r="E211"/>
  <c r="D211"/>
  <c r="F211" s="1"/>
  <c r="I210"/>
  <c r="G210"/>
  <c r="F210"/>
  <c r="D210"/>
  <c r="H209"/>
  <c r="G209"/>
  <c r="I209" s="1"/>
  <c r="E209"/>
  <c r="D209"/>
  <c r="F209" s="1"/>
  <c r="I208"/>
  <c r="G208"/>
  <c r="F208"/>
  <c r="D208"/>
  <c r="H207"/>
  <c r="G207"/>
  <c r="I207" s="1"/>
  <c r="E207"/>
  <c r="D207"/>
  <c r="F207" s="1"/>
  <c r="H206"/>
  <c r="G206"/>
  <c r="I206" s="1"/>
  <c r="F206"/>
  <c r="H205"/>
  <c r="G205"/>
  <c r="I205" s="1"/>
  <c r="E205"/>
  <c r="D205"/>
  <c r="F205" s="1"/>
  <c r="H204"/>
  <c r="G204"/>
  <c r="I204" s="1"/>
  <c r="E204"/>
  <c r="D204"/>
  <c r="F204" s="1"/>
  <c r="H203"/>
  <c r="G203"/>
  <c r="I203" s="1"/>
  <c r="E203"/>
  <c r="D203"/>
  <c r="F203" s="1"/>
  <c r="H202"/>
  <c r="G202"/>
  <c r="I202" s="1"/>
  <c r="E202"/>
  <c r="D202"/>
  <c r="F202" s="1"/>
  <c r="H201"/>
  <c r="G201"/>
  <c r="I201" s="1"/>
  <c r="E201"/>
  <c r="D201"/>
  <c r="F201" s="1"/>
  <c r="H200"/>
  <c r="G200"/>
  <c r="I200" s="1"/>
  <c r="E200"/>
  <c r="D200"/>
  <c r="F200" s="1"/>
  <c r="H199"/>
  <c r="G199"/>
  <c r="I199" s="1"/>
  <c r="E199"/>
  <c r="D199"/>
  <c r="F199" s="1"/>
  <c r="H198"/>
  <c r="G198"/>
  <c r="I198" s="1"/>
  <c r="E198"/>
  <c r="D198"/>
  <c r="F198" s="1"/>
  <c r="I197"/>
  <c r="H197"/>
  <c r="F197"/>
  <c r="E197"/>
  <c r="I196"/>
  <c r="G196"/>
  <c r="E196"/>
  <c r="D196"/>
  <c r="F196" s="1"/>
  <c r="I195"/>
  <c r="F195"/>
  <c r="H194"/>
  <c r="H247" s="1"/>
  <c r="G194"/>
  <c r="G247" s="1"/>
  <c r="I247" s="1"/>
  <c r="E194"/>
  <c r="E247" s="1"/>
  <c r="D194"/>
  <c r="D247" s="1"/>
  <c r="F247" s="1"/>
  <c r="H191"/>
  <c r="G191"/>
  <c r="I191" s="1"/>
  <c r="E191"/>
  <c r="D191"/>
  <c r="F191" s="1"/>
  <c r="H190"/>
  <c r="G190"/>
  <c r="I190" s="1"/>
  <c r="E190"/>
  <c r="D190"/>
  <c r="F190" s="1"/>
  <c r="H189"/>
  <c r="G189"/>
  <c r="I189" s="1"/>
  <c r="E189"/>
  <c r="D189"/>
  <c r="F189" s="1"/>
  <c r="H188"/>
  <c r="G188"/>
  <c r="I188" s="1"/>
  <c r="E188"/>
  <c r="D188"/>
  <c r="F188" s="1"/>
  <c r="H187"/>
  <c r="G187"/>
  <c r="I187" s="1"/>
  <c r="E187"/>
  <c r="D187"/>
  <c r="F187" s="1"/>
  <c r="H186"/>
  <c r="G186"/>
  <c r="I186" s="1"/>
  <c r="E186"/>
  <c r="D186"/>
  <c r="F186" s="1"/>
  <c r="H185"/>
  <c r="G185"/>
  <c r="I185" s="1"/>
  <c r="E185"/>
  <c r="D185"/>
  <c r="F185" s="1"/>
  <c r="H184"/>
  <c r="I184" s="1"/>
  <c r="E184"/>
  <c r="F184" s="1"/>
  <c r="I183"/>
  <c r="F183"/>
  <c r="I182"/>
  <c r="F182"/>
  <c r="H181"/>
  <c r="G181"/>
  <c r="I181" s="1"/>
  <c r="E181"/>
  <c r="D181"/>
  <c r="F181" s="1"/>
  <c r="H180"/>
  <c r="G180"/>
  <c r="I180" s="1"/>
  <c r="E180"/>
  <c r="D180"/>
  <c r="F180" s="1"/>
  <c r="H179"/>
  <c r="I179" s="1"/>
  <c r="E179"/>
  <c r="D179"/>
  <c r="F179" s="1"/>
  <c r="H178"/>
  <c r="G178"/>
  <c r="I178" s="1"/>
  <c r="E178"/>
  <c r="D178"/>
  <c r="F178" s="1"/>
  <c r="H177"/>
  <c r="G177"/>
  <c r="I177" s="1"/>
  <c r="E177"/>
  <c r="D177"/>
  <c r="F177" s="1"/>
  <c r="H176"/>
  <c r="G176"/>
  <c r="I176" s="1"/>
  <c r="E176"/>
  <c r="D176"/>
  <c r="F176" s="1"/>
  <c r="H175"/>
  <c r="G175"/>
  <c r="I175" s="1"/>
  <c r="E175"/>
  <c r="D175"/>
  <c r="F175" s="1"/>
  <c r="I174"/>
  <c r="H174"/>
  <c r="F174"/>
  <c r="E174"/>
  <c r="H173"/>
  <c r="G173"/>
  <c r="I173" s="1"/>
  <c r="E173"/>
  <c r="D173"/>
  <c r="F173" s="1"/>
  <c r="H172"/>
  <c r="G172"/>
  <c r="I172" s="1"/>
  <c r="E172"/>
  <c r="D172"/>
  <c r="F172" s="1"/>
  <c r="H171"/>
  <c r="H192" s="1"/>
  <c r="G171"/>
  <c r="I171" s="1"/>
  <c r="E171"/>
  <c r="E192" s="1"/>
  <c r="D171"/>
  <c r="F171" s="1"/>
  <c r="I170"/>
  <c r="G170"/>
  <c r="G192" s="1"/>
  <c r="F170"/>
  <c r="D170"/>
  <c r="D192" s="1"/>
  <c r="I169"/>
  <c r="F169"/>
  <c r="I166"/>
  <c r="F166"/>
  <c r="H165"/>
  <c r="G165"/>
  <c r="I165" s="1"/>
  <c r="F165"/>
  <c r="H164"/>
  <c r="G164"/>
  <c r="I164" s="1"/>
  <c r="F164"/>
  <c r="G163"/>
  <c r="I163" s="1"/>
  <c r="F163"/>
  <c r="D163"/>
  <c r="I162"/>
  <c r="G162"/>
  <c r="F162"/>
  <c r="D162"/>
  <c r="I161"/>
  <c r="G161"/>
  <c r="F161"/>
  <c r="D161"/>
  <c r="H160"/>
  <c r="G160"/>
  <c r="I160" s="1"/>
  <c r="E160"/>
  <c r="D160"/>
  <c r="F160" s="1"/>
  <c r="I159"/>
  <c r="G159"/>
  <c r="F159"/>
  <c r="D159"/>
  <c r="H158"/>
  <c r="G158"/>
  <c r="I158" s="1"/>
  <c r="F158"/>
  <c r="H157"/>
  <c r="G157"/>
  <c r="I157" s="1"/>
  <c r="E157"/>
  <c r="D157"/>
  <c r="F157" s="1"/>
  <c r="I156"/>
  <c r="F156"/>
  <c r="I155"/>
  <c r="F155"/>
  <c r="I154"/>
  <c r="F154"/>
  <c r="I153"/>
  <c r="F153"/>
  <c r="I152"/>
  <c r="F152"/>
  <c r="I151"/>
  <c r="E151"/>
  <c r="D151"/>
  <c r="F151" s="1"/>
  <c r="H150"/>
  <c r="H167" s="1"/>
  <c r="G150"/>
  <c r="G167" s="1"/>
  <c r="I167" s="1"/>
  <c r="E150"/>
  <c r="F150" s="1"/>
  <c r="I149"/>
  <c r="E149"/>
  <c r="E167" s="1"/>
  <c r="D149"/>
  <c r="D167" s="1"/>
  <c r="F167" s="1"/>
  <c r="I148"/>
  <c r="F148"/>
  <c r="I147"/>
  <c r="F147"/>
  <c r="I144"/>
  <c r="F144"/>
  <c r="H143"/>
  <c r="I143" s="1"/>
  <c r="F143"/>
  <c r="I142"/>
  <c r="F142"/>
  <c r="H141"/>
  <c r="I141" s="1"/>
  <c r="F141"/>
  <c r="D141"/>
  <c r="I140"/>
  <c r="H140"/>
  <c r="F140"/>
  <c r="E140"/>
  <c r="I139"/>
  <c r="E139"/>
  <c r="D139"/>
  <c r="F139" s="1"/>
  <c r="I138"/>
  <c r="F138"/>
  <c r="H137"/>
  <c r="G137"/>
  <c r="I137" s="1"/>
  <c r="D137"/>
  <c r="F137" s="1"/>
  <c r="H136"/>
  <c r="I136" s="1"/>
  <c r="E136"/>
  <c r="F136" s="1"/>
  <c r="I135"/>
  <c r="H135"/>
  <c r="F135"/>
  <c r="E135"/>
  <c r="I134"/>
  <c r="G134"/>
  <c r="F134"/>
  <c r="D134"/>
  <c r="I133"/>
  <c r="F133"/>
  <c r="I132"/>
  <c r="F132"/>
  <c r="I131"/>
  <c r="F131"/>
  <c r="H130"/>
  <c r="G130"/>
  <c r="I130" s="1"/>
  <c r="F130"/>
  <c r="I129"/>
  <c r="F129"/>
  <c r="H128"/>
  <c r="G128"/>
  <c r="I128" s="1"/>
  <c r="D128"/>
  <c r="D145" s="1"/>
  <c r="H127"/>
  <c r="H145" s="1"/>
  <c r="E127"/>
  <c r="E145" s="1"/>
  <c r="G126"/>
  <c r="G145" s="1"/>
  <c r="I145" s="1"/>
  <c r="F126"/>
  <c r="I125"/>
  <c r="F125"/>
  <c r="H123"/>
  <c r="G123"/>
  <c r="I123" s="1"/>
  <c r="E123"/>
  <c r="D123"/>
  <c r="F123" s="1"/>
  <c r="I122"/>
  <c r="F122"/>
  <c r="H120"/>
  <c r="G120"/>
  <c r="I120" s="1"/>
  <c r="E120"/>
  <c r="D120"/>
  <c r="F120" s="1"/>
  <c r="I119"/>
  <c r="F119"/>
  <c r="I116"/>
  <c r="F116"/>
  <c r="I115"/>
  <c r="H115"/>
  <c r="F115"/>
  <c r="E115"/>
  <c r="H114"/>
  <c r="H117" s="1"/>
  <c r="G114"/>
  <c r="G117" s="1"/>
  <c r="E114"/>
  <c r="E117" s="1"/>
  <c r="D114"/>
  <c r="D117" s="1"/>
  <c r="I113"/>
  <c r="F113"/>
  <c r="I110"/>
  <c r="F110"/>
  <c r="I109"/>
  <c r="F109"/>
  <c r="I108"/>
  <c r="E108"/>
  <c r="D108"/>
  <c r="F108" s="1"/>
  <c r="I107"/>
  <c r="F107"/>
  <c r="I106"/>
  <c r="F106"/>
  <c r="I105"/>
  <c r="F105"/>
  <c r="H104"/>
  <c r="G104"/>
  <c r="I104" s="1"/>
  <c r="E104"/>
  <c r="D104"/>
  <c r="F104" s="1"/>
  <c r="H103"/>
  <c r="H111" s="1"/>
  <c r="G103"/>
  <c r="G111" s="1"/>
  <c r="I111" s="1"/>
  <c r="E103"/>
  <c r="E111" s="1"/>
  <c r="D103"/>
  <c r="D111" s="1"/>
  <c r="F111" s="1"/>
  <c r="I102"/>
  <c r="F102"/>
  <c r="I99"/>
  <c r="E99"/>
  <c r="E100" s="1"/>
  <c r="D99"/>
  <c r="D100" s="1"/>
  <c r="I98"/>
  <c r="F98"/>
  <c r="I97"/>
  <c r="F97"/>
  <c r="I96"/>
  <c r="F96"/>
  <c r="I95"/>
  <c r="F95"/>
  <c r="H94"/>
  <c r="H100" s="1"/>
  <c r="G94"/>
  <c r="G100" s="1"/>
  <c r="F94"/>
  <c r="I93"/>
  <c r="F93"/>
  <c r="I92"/>
  <c r="F92"/>
  <c r="I91"/>
  <c r="F91"/>
  <c r="I90"/>
  <c r="F90"/>
  <c r="I89"/>
  <c r="F89"/>
  <c r="I88"/>
  <c r="F88"/>
  <c r="I87"/>
  <c r="F87"/>
  <c r="I86"/>
  <c r="F86"/>
  <c r="I83"/>
  <c r="E83"/>
  <c r="D83"/>
  <c r="F83" s="1"/>
  <c r="I82"/>
  <c r="F82"/>
  <c r="H81"/>
  <c r="G81"/>
  <c r="G84" s="1"/>
  <c r="E81"/>
  <c r="D81"/>
  <c r="F81" s="1"/>
  <c r="I80"/>
  <c r="F80"/>
  <c r="I79"/>
  <c r="H79"/>
  <c r="H84" s="1"/>
  <c r="F79"/>
  <c r="E79"/>
  <c r="I78"/>
  <c r="F78"/>
  <c r="I77"/>
  <c r="F77"/>
  <c r="I76"/>
  <c r="F76"/>
  <c r="I75"/>
  <c r="F75"/>
  <c r="I74"/>
  <c r="E74"/>
  <c r="E84" s="1"/>
  <c r="D74"/>
  <c r="D84" s="1"/>
  <c r="F84" s="1"/>
  <c r="G72"/>
  <c r="D72"/>
  <c r="I71"/>
  <c r="H71"/>
  <c r="H72" s="1"/>
  <c r="F71"/>
  <c r="E71"/>
  <c r="E72" s="1"/>
  <c r="E42"/>
  <c r="D41"/>
  <c r="F40"/>
  <c r="F43" s="1"/>
  <c r="E35"/>
  <c r="D34"/>
  <c r="F33"/>
  <c r="E30"/>
  <c r="E37" s="1"/>
  <c r="D29"/>
  <c r="D44" s="1"/>
  <c r="F28"/>
  <c r="I292" i="4"/>
  <c r="I285"/>
  <c r="I278"/>
  <c r="H264"/>
  <c r="G264"/>
  <c r="I264" s="1"/>
  <c r="E264"/>
  <c r="D264"/>
  <c r="F264" s="1"/>
  <c r="G263"/>
  <c r="I263" s="1"/>
  <c r="I262"/>
  <c r="H262"/>
  <c r="I261"/>
  <c r="H261"/>
  <c r="H260"/>
  <c r="G260"/>
  <c r="I260" s="1"/>
  <c r="H259"/>
  <c r="G259"/>
  <c r="I259" s="1"/>
  <c r="F259"/>
  <c r="E259"/>
  <c r="I258"/>
  <c r="H258"/>
  <c r="E258"/>
  <c r="D258"/>
  <c r="F258" s="1"/>
  <c r="H257"/>
  <c r="I257" s="1"/>
  <c r="E257"/>
  <c r="F257" s="1"/>
  <c r="H256"/>
  <c r="G256"/>
  <c r="I256" s="1"/>
  <c r="E256"/>
  <c r="D256"/>
  <c r="F256" s="1"/>
  <c r="H255"/>
  <c r="G255"/>
  <c r="I255" s="1"/>
  <c r="F255"/>
  <c r="E255"/>
  <c r="I254"/>
  <c r="H254"/>
  <c r="E254"/>
  <c r="D254"/>
  <c r="F254" s="1"/>
  <c r="H253"/>
  <c r="H265" s="1"/>
  <c r="G253"/>
  <c r="G265" s="1"/>
  <c r="E253"/>
  <c r="E265" s="1"/>
  <c r="D253"/>
  <c r="F253" s="1"/>
  <c r="H250"/>
  <c r="H251" s="1"/>
  <c r="G250"/>
  <c r="G251" s="1"/>
  <c r="E250"/>
  <c r="E251" s="1"/>
  <c r="D250"/>
  <c r="D251" s="1"/>
  <c r="E248"/>
  <c r="D248"/>
  <c r="F248" s="1"/>
  <c r="H247"/>
  <c r="H248" s="1"/>
  <c r="G247"/>
  <c r="G248" s="1"/>
  <c r="F247"/>
  <c r="I244"/>
  <c r="H244"/>
  <c r="F244"/>
  <c r="E244"/>
  <c r="H243"/>
  <c r="G243"/>
  <c r="I243" s="1"/>
  <c r="E243"/>
  <c r="D243"/>
  <c r="F243" s="1"/>
  <c r="H242"/>
  <c r="H241"/>
  <c r="I240"/>
  <c r="H240"/>
  <c r="F240"/>
  <c r="E240"/>
  <c r="I239"/>
  <c r="H239"/>
  <c r="F239"/>
  <c r="E239"/>
  <c r="H238"/>
  <c r="G238"/>
  <c r="I238" s="1"/>
  <c r="E238"/>
  <c r="D238"/>
  <c r="F238" s="1"/>
  <c r="H237"/>
  <c r="G237"/>
  <c r="I237" s="1"/>
  <c r="E237"/>
  <c r="D237"/>
  <c r="F237" s="1"/>
  <c r="I236"/>
  <c r="H236"/>
  <c r="E236"/>
  <c r="D236"/>
  <c r="F236" s="1"/>
  <c r="H235"/>
  <c r="G235"/>
  <c r="I235" s="1"/>
  <c r="E235"/>
  <c r="D235"/>
  <c r="F235" s="1"/>
  <c r="H234"/>
  <c r="G234"/>
  <c r="I234" s="1"/>
  <c r="E234"/>
  <c r="D234"/>
  <c r="F234" s="1"/>
  <c r="H233"/>
  <c r="G233"/>
  <c r="I233" s="1"/>
  <c r="E233"/>
  <c r="D233"/>
  <c r="F233" s="1"/>
  <c r="G232"/>
  <c r="I232" s="1"/>
  <c r="D232"/>
  <c r="F232" s="1"/>
  <c r="H231"/>
  <c r="G231"/>
  <c r="I231" s="1"/>
  <c r="E231"/>
  <c r="D231"/>
  <c r="F231" s="1"/>
  <c r="H230"/>
  <c r="G230"/>
  <c r="I230" s="1"/>
  <c r="E230"/>
  <c r="D230"/>
  <c r="F230" s="1"/>
  <c r="H229"/>
  <c r="G229"/>
  <c r="I229" s="1"/>
  <c r="E229"/>
  <c r="D229"/>
  <c r="F229" s="1"/>
  <c r="H228"/>
  <c r="G228"/>
  <c r="I228" s="1"/>
  <c r="E228"/>
  <c r="D228"/>
  <c r="F228" s="1"/>
  <c r="H227"/>
  <c r="G227"/>
  <c r="I227" s="1"/>
  <c r="E227"/>
  <c r="D227"/>
  <c r="F227" s="1"/>
  <c r="H226"/>
  <c r="I226" s="1"/>
  <c r="E226"/>
  <c r="F226" s="1"/>
  <c r="H225"/>
  <c r="G225"/>
  <c r="I225" s="1"/>
  <c r="D225"/>
  <c r="F225" s="1"/>
  <c r="H224"/>
  <c r="G224"/>
  <c r="I224" s="1"/>
  <c r="E224"/>
  <c r="D224"/>
  <c r="F224" s="1"/>
  <c r="H223"/>
  <c r="G223"/>
  <c r="I223" s="1"/>
  <c r="E223"/>
  <c r="D223"/>
  <c r="F223" s="1"/>
  <c r="H222"/>
  <c r="G222"/>
  <c r="I222" s="1"/>
  <c r="E222"/>
  <c r="D222"/>
  <c r="F222" s="1"/>
  <c r="H221"/>
  <c r="G221"/>
  <c r="I221" s="1"/>
  <c r="E221"/>
  <c r="D221"/>
  <c r="F221" s="1"/>
  <c r="I220"/>
  <c r="H220"/>
  <c r="F220"/>
  <c r="E220"/>
  <c r="H219"/>
  <c r="G219"/>
  <c r="I219" s="1"/>
  <c r="E219"/>
  <c r="D219"/>
  <c r="F219" s="1"/>
  <c r="H218"/>
  <c r="G218"/>
  <c r="I218" s="1"/>
  <c r="E218"/>
  <c r="F218" s="1"/>
  <c r="H217"/>
  <c r="G217"/>
  <c r="I217" s="1"/>
  <c r="F217"/>
  <c r="H216"/>
  <c r="G216"/>
  <c r="I216" s="1"/>
  <c r="E216"/>
  <c r="D216"/>
  <c r="F216" s="1"/>
  <c r="G215"/>
  <c r="I215" s="1"/>
  <c r="D215"/>
  <c r="F215" s="1"/>
  <c r="I214"/>
  <c r="F214"/>
  <c r="H213"/>
  <c r="G213"/>
  <c r="I213" s="1"/>
  <c r="E213"/>
  <c r="D213"/>
  <c r="F213" s="1"/>
  <c r="G212"/>
  <c r="I212" s="1"/>
  <c r="F212"/>
  <c r="D212"/>
  <c r="H211"/>
  <c r="G211"/>
  <c r="I211" s="1"/>
  <c r="E211"/>
  <c r="D211"/>
  <c r="F211" s="1"/>
  <c r="I210"/>
  <c r="G210"/>
  <c r="F210"/>
  <c r="D210"/>
  <c r="H209"/>
  <c r="G209"/>
  <c r="I209" s="1"/>
  <c r="E209"/>
  <c r="D209"/>
  <c r="F209" s="1"/>
  <c r="I208"/>
  <c r="G208"/>
  <c r="F208"/>
  <c r="D208"/>
  <c r="H207"/>
  <c r="G207"/>
  <c r="I207" s="1"/>
  <c r="F207"/>
  <c r="I206"/>
  <c r="E206"/>
  <c r="D206"/>
  <c r="F206" s="1"/>
  <c r="H205"/>
  <c r="G205"/>
  <c r="I205" s="1"/>
  <c r="E205"/>
  <c r="D205"/>
  <c r="F205" s="1"/>
  <c r="H204"/>
  <c r="G204"/>
  <c r="I204" s="1"/>
  <c r="E204"/>
  <c r="D204"/>
  <c r="F204" s="1"/>
  <c r="H203"/>
  <c r="G203"/>
  <c r="I203" s="1"/>
  <c r="E203"/>
  <c r="D203"/>
  <c r="F203" s="1"/>
  <c r="H202"/>
  <c r="G202"/>
  <c r="I202" s="1"/>
  <c r="E202"/>
  <c r="D202"/>
  <c r="F202" s="1"/>
  <c r="H201"/>
  <c r="G201"/>
  <c r="I201" s="1"/>
  <c r="E201"/>
  <c r="D201"/>
  <c r="F201" s="1"/>
  <c r="H200"/>
  <c r="G200"/>
  <c r="I200" s="1"/>
  <c r="E200"/>
  <c r="D200"/>
  <c r="F200" s="1"/>
  <c r="H199"/>
  <c r="G199"/>
  <c r="I199" s="1"/>
  <c r="E199"/>
  <c r="D199"/>
  <c r="F199" s="1"/>
  <c r="H198"/>
  <c r="G198"/>
  <c r="I198" s="1"/>
  <c r="E198"/>
  <c r="D198"/>
  <c r="F198" s="1"/>
  <c r="I197"/>
  <c r="H197"/>
  <c r="F197"/>
  <c r="H196"/>
  <c r="G196"/>
  <c r="I196" s="1"/>
  <c r="E196"/>
  <c r="D196"/>
  <c r="F196" s="1"/>
  <c r="I195"/>
  <c r="F195"/>
  <c r="H194"/>
  <c r="H245" s="1"/>
  <c r="G194"/>
  <c r="G245" s="1"/>
  <c r="E194"/>
  <c r="E245" s="1"/>
  <c r="D194"/>
  <c r="D245" s="1"/>
  <c r="H191"/>
  <c r="G191"/>
  <c r="I191" s="1"/>
  <c r="E191"/>
  <c r="D191"/>
  <c r="F191" s="1"/>
  <c r="H190"/>
  <c r="G190"/>
  <c r="I190" s="1"/>
  <c r="E190"/>
  <c r="D190"/>
  <c r="F190" s="1"/>
  <c r="H189"/>
  <c r="G189"/>
  <c r="I189" s="1"/>
  <c r="E189"/>
  <c r="D189"/>
  <c r="F189" s="1"/>
  <c r="H188"/>
  <c r="G188"/>
  <c r="I188" s="1"/>
  <c r="E188"/>
  <c r="D188"/>
  <c r="F188" s="1"/>
  <c r="H187"/>
  <c r="G187"/>
  <c r="I187" s="1"/>
  <c r="E187"/>
  <c r="D187"/>
  <c r="F187" s="1"/>
  <c r="H186"/>
  <c r="G186"/>
  <c r="I186" s="1"/>
  <c r="E186"/>
  <c r="D186"/>
  <c r="F186" s="1"/>
  <c r="H185"/>
  <c r="G185"/>
  <c r="I185" s="1"/>
  <c r="E185"/>
  <c r="D185"/>
  <c r="F185" s="1"/>
  <c r="H184"/>
  <c r="I184" s="1"/>
  <c r="E184"/>
  <c r="F184" s="1"/>
  <c r="I183"/>
  <c r="F183"/>
  <c r="I182"/>
  <c r="F182"/>
  <c r="D182"/>
  <c r="H181"/>
  <c r="G181"/>
  <c r="I181" s="1"/>
  <c r="E181"/>
  <c r="D181"/>
  <c r="F181" s="1"/>
  <c r="H180"/>
  <c r="G180"/>
  <c r="I180" s="1"/>
  <c r="E180"/>
  <c r="D180"/>
  <c r="F180" s="1"/>
  <c r="H179"/>
  <c r="G179"/>
  <c r="I179" s="1"/>
  <c r="E179"/>
  <c r="F179" s="1"/>
  <c r="H178"/>
  <c r="G178"/>
  <c r="I178" s="1"/>
  <c r="E178"/>
  <c r="D178"/>
  <c r="F178" s="1"/>
  <c r="H177"/>
  <c r="G177"/>
  <c r="I177" s="1"/>
  <c r="E177"/>
  <c r="D177"/>
  <c r="F177" s="1"/>
  <c r="H176"/>
  <c r="G176"/>
  <c r="I176" s="1"/>
  <c r="E176"/>
  <c r="D176"/>
  <c r="F176" s="1"/>
  <c r="H175"/>
  <c r="G175"/>
  <c r="I175" s="1"/>
  <c r="E175"/>
  <c r="D175"/>
  <c r="F175" s="1"/>
  <c r="I174"/>
  <c r="H174"/>
  <c r="F174"/>
  <c r="E174"/>
  <c r="H173"/>
  <c r="G173"/>
  <c r="I173" s="1"/>
  <c r="E173"/>
  <c r="D173"/>
  <c r="F173" s="1"/>
  <c r="H172"/>
  <c r="G172"/>
  <c r="I172" s="1"/>
  <c r="E172"/>
  <c r="D172"/>
  <c r="F172" s="1"/>
  <c r="H171"/>
  <c r="H192" s="1"/>
  <c r="G171"/>
  <c r="I171" s="1"/>
  <c r="E171"/>
  <c r="E192" s="1"/>
  <c r="D171"/>
  <c r="F171" s="1"/>
  <c r="G170"/>
  <c r="G192" s="1"/>
  <c r="I192" s="1"/>
  <c r="D170"/>
  <c r="D192" s="1"/>
  <c r="I169"/>
  <c r="F169"/>
  <c r="I166"/>
  <c r="F166"/>
  <c r="I165"/>
  <c r="F165"/>
  <c r="I164"/>
  <c r="E164"/>
  <c r="D164"/>
  <c r="F164" s="1"/>
  <c r="G163"/>
  <c r="I163" s="1"/>
  <c r="F163"/>
  <c r="D163"/>
  <c r="I162"/>
  <c r="G162"/>
  <c r="E162"/>
  <c r="D162"/>
  <c r="F162" s="1"/>
  <c r="G161"/>
  <c r="I161" s="1"/>
  <c r="D161"/>
  <c r="F161" s="1"/>
  <c r="H160"/>
  <c r="G160"/>
  <c r="I160" s="1"/>
  <c r="E160"/>
  <c r="D160"/>
  <c r="F160" s="1"/>
  <c r="G159"/>
  <c r="I159" s="1"/>
  <c r="F159"/>
  <c r="D159"/>
  <c r="I158"/>
  <c r="F158"/>
  <c r="H157"/>
  <c r="G157"/>
  <c r="I157" s="1"/>
  <c r="E157"/>
  <c r="D157"/>
  <c r="F157" s="1"/>
  <c r="I156"/>
  <c r="F156"/>
  <c r="I155"/>
  <c r="F155"/>
  <c r="I154"/>
  <c r="F154"/>
  <c r="I153"/>
  <c r="F153"/>
  <c r="I152"/>
  <c r="F152"/>
  <c r="H151"/>
  <c r="G151"/>
  <c r="I151" s="1"/>
  <c r="E151"/>
  <c r="D151"/>
  <c r="F151" s="1"/>
  <c r="H150"/>
  <c r="I150" s="1"/>
  <c r="D150"/>
  <c r="F150" s="1"/>
  <c r="H149"/>
  <c r="H167" s="1"/>
  <c r="G149"/>
  <c r="I149" s="1"/>
  <c r="E149"/>
  <c r="E167" s="1"/>
  <c r="D149"/>
  <c r="D167" s="1"/>
  <c r="F167" s="1"/>
  <c r="I148"/>
  <c r="F148"/>
  <c r="I147"/>
  <c r="F147"/>
  <c r="I144"/>
  <c r="F144"/>
  <c r="I143"/>
  <c r="F143"/>
  <c r="I142"/>
  <c r="F142"/>
  <c r="G141"/>
  <c r="I141" s="1"/>
  <c r="F141"/>
  <c r="E141"/>
  <c r="I140"/>
  <c r="H140"/>
  <c r="F140"/>
  <c r="E140"/>
  <c r="H139"/>
  <c r="G139"/>
  <c r="I139" s="1"/>
  <c r="E139"/>
  <c r="D139"/>
  <c r="F139" s="1"/>
  <c r="I138"/>
  <c r="F138"/>
  <c r="I137"/>
  <c r="G137"/>
  <c r="F137"/>
  <c r="H136"/>
  <c r="I136" s="1"/>
  <c r="E136"/>
  <c r="F136" s="1"/>
  <c r="H135"/>
  <c r="I135" s="1"/>
  <c r="F135"/>
  <c r="E135"/>
  <c r="I134"/>
  <c r="G134"/>
  <c r="F134"/>
  <c r="D134"/>
  <c r="I133"/>
  <c r="F133"/>
  <c r="I132"/>
  <c r="F132"/>
  <c r="I131"/>
  <c r="F131"/>
  <c r="I130"/>
  <c r="F130"/>
  <c r="I129"/>
  <c r="F129"/>
  <c r="I128"/>
  <c r="G128"/>
  <c r="G145" s="1"/>
  <c r="F128"/>
  <c r="E128"/>
  <c r="I127"/>
  <c r="H127"/>
  <c r="H145" s="1"/>
  <c r="F127"/>
  <c r="E127"/>
  <c r="E145" s="1"/>
  <c r="I126"/>
  <c r="D126"/>
  <c r="F126" s="1"/>
  <c r="I125"/>
  <c r="F125"/>
  <c r="D125"/>
  <c r="D145" s="1"/>
  <c r="H123"/>
  <c r="G123"/>
  <c r="I123" s="1"/>
  <c r="E123"/>
  <c r="D123"/>
  <c r="F123" s="1"/>
  <c r="I122"/>
  <c r="F122"/>
  <c r="H120"/>
  <c r="G120"/>
  <c r="I120" s="1"/>
  <c r="E120"/>
  <c r="D120"/>
  <c r="F120" s="1"/>
  <c r="I119"/>
  <c r="F119"/>
  <c r="I116"/>
  <c r="F116"/>
  <c r="H115"/>
  <c r="I115" s="1"/>
  <c r="F115"/>
  <c r="E115"/>
  <c r="H114"/>
  <c r="H117" s="1"/>
  <c r="G114"/>
  <c r="G117" s="1"/>
  <c r="I117" s="1"/>
  <c r="E114"/>
  <c r="E117" s="1"/>
  <c r="D114"/>
  <c r="D117" s="1"/>
  <c r="F117" s="1"/>
  <c r="I113"/>
  <c r="F113"/>
  <c r="I110"/>
  <c r="F110"/>
  <c r="I109"/>
  <c r="F109"/>
  <c r="H108"/>
  <c r="G108"/>
  <c r="I108" s="1"/>
  <c r="F108"/>
  <c r="I107"/>
  <c r="F107"/>
  <c r="I106"/>
  <c r="F106"/>
  <c r="I105"/>
  <c r="E105"/>
  <c r="D105"/>
  <c r="F105" s="1"/>
  <c r="H104"/>
  <c r="G104"/>
  <c r="I104" s="1"/>
  <c r="E104"/>
  <c r="D104"/>
  <c r="F104" s="1"/>
  <c r="H103"/>
  <c r="H111" s="1"/>
  <c r="G103"/>
  <c r="G111" s="1"/>
  <c r="I111" s="1"/>
  <c r="E103"/>
  <c r="E111" s="1"/>
  <c r="D103"/>
  <c r="D111" s="1"/>
  <c r="F111" s="1"/>
  <c r="I102"/>
  <c r="F102"/>
  <c r="E100"/>
  <c r="D100"/>
  <c r="F100" s="1"/>
  <c r="H99"/>
  <c r="H100" s="1"/>
  <c r="G99"/>
  <c r="G100" s="1"/>
  <c r="I100" s="1"/>
  <c r="F99"/>
  <c r="I98"/>
  <c r="F98"/>
  <c r="I97"/>
  <c r="F97"/>
  <c r="I96"/>
  <c r="F96"/>
  <c r="I95"/>
  <c r="F95"/>
  <c r="I94"/>
  <c r="F94"/>
  <c r="I93"/>
  <c r="F93"/>
  <c r="I92"/>
  <c r="F92"/>
  <c r="I91"/>
  <c r="F91"/>
  <c r="I90"/>
  <c r="F90"/>
  <c r="I89"/>
  <c r="F89"/>
  <c r="I88"/>
  <c r="F88"/>
  <c r="I87"/>
  <c r="F87"/>
  <c r="I86"/>
  <c r="F86"/>
  <c r="H83"/>
  <c r="G83"/>
  <c r="I83" s="1"/>
  <c r="E83"/>
  <c r="D83"/>
  <c r="D84" s="1"/>
  <c r="I82"/>
  <c r="F82"/>
  <c r="H81"/>
  <c r="G81"/>
  <c r="I81" s="1"/>
  <c r="F81"/>
  <c r="I80"/>
  <c r="F80"/>
  <c r="I79"/>
  <c r="H79"/>
  <c r="F79"/>
  <c r="E79"/>
  <c r="E84" s="1"/>
  <c r="I78"/>
  <c r="F78"/>
  <c r="I77"/>
  <c r="F77"/>
  <c r="I76"/>
  <c r="F76"/>
  <c r="I75"/>
  <c r="F75"/>
  <c r="H74"/>
  <c r="H84" s="1"/>
  <c r="G74"/>
  <c r="G84" s="1"/>
  <c r="I84" s="1"/>
  <c r="F74"/>
  <c r="G72"/>
  <c r="D72"/>
  <c r="H71"/>
  <c r="H72" s="1"/>
  <c r="F71"/>
  <c r="E71"/>
  <c r="E72" s="1"/>
  <c r="E42"/>
  <c r="D41"/>
  <c r="F40"/>
  <c r="E35"/>
  <c r="D34"/>
  <c r="F33"/>
  <c r="F36" s="1"/>
  <c r="E30"/>
  <c r="E44" s="1"/>
  <c r="D29"/>
  <c r="D37" s="1"/>
  <c r="F28"/>
  <c r="I293" i="3"/>
  <c r="I292"/>
  <c r="I298" s="1"/>
  <c r="I291"/>
  <c r="I280"/>
  <c r="I272"/>
  <c r="I283" s="1"/>
  <c r="H261"/>
  <c r="G261"/>
  <c r="I261" s="1"/>
  <c r="E261"/>
  <c r="D261"/>
  <c r="F261" s="1"/>
  <c r="H259"/>
  <c r="G259"/>
  <c r="I259" s="1"/>
  <c r="F259"/>
  <c r="E259"/>
  <c r="H258"/>
  <c r="G258"/>
  <c r="I258" s="1"/>
  <c r="E258"/>
  <c r="F258" s="1"/>
  <c r="H257"/>
  <c r="I257" s="1"/>
  <c r="E257"/>
  <c r="D257"/>
  <c r="F257" s="1"/>
  <c r="H256"/>
  <c r="G256"/>
  <c r="I256" s="1"/>
  <c r="E256"/>
  <c r="F256" s="1"/>
  <c r="H255"/>
  <c r="G255"/>
  <c r="I255" s="1"/>
  <c r="F255"/>
  <c r="E255"/>
  <c r="I254"/>
  <c r="H254"/>
  <c r="F254"/>
  <c r="E254"/>
  <c r="H253"/>
  <c r="G253"/>
  <c r="I253" s="1"/>
  <c r="E253"/>
  <c r="D253"/>
  <c r="F253" s="1"/>
  <c r="I252"/>
  <c r="H252"/>
  <c r="H251"/>
  <c r="G251"/>
  <c r="I251" s="1"/>
  <c r="D251"/>
  <c r="F251" s="1"/>
  <c r="H250"/>
  <c r="H262" s="1"/>
  <c r="G250"/>
  <c r="G262" s="1"/>
  <c r="E250"/>
  <c r="E262" s="1"/>
  <c r="D250"/>
  <c r="D262" s="1"/>
  <c r="H247"/>
  <c r="H248" s="1"/>
  <c r="G247"/>
  <c r="G248" s="1"/>
  <c r="I248" s="1"/>
  <c r="E247"/>
  <c r="E248" s="1"/>
  <c r="D247"/>
  <c r="D248" s="1"/>
  <c r="F248" s="1"/>
  <c r="H245"/>
  <c r="G245"/>
  <c r="I245" s="1"/>
  <c r="E245"/>
  <c r="D245"/>
  <c r="F245" s="1"/>
  <c r="I244"/>
  <c r="F244"/>
  <c r="H241"/>
  <c r="I241" s="1"/>
  <c r="E241"/>
  <c r="F241" s="1"/>
  <c r="H240"/>
  <c r="G240"/>
  <c r="I240" s="1"/>
  <c r="E240"/>
  <c r="D240"/>
  <c r="F240" s="1"/>
  <c r="H239"/>
  <c r="I239" s="1"/>
  <c r="E239"/>
  <c r="F239" s="1"/>
  <c r="H238"/>
  <c r="I238" s="1"/>
  <c r="H237"/>
  <c r="G237"/>
  <c r="I237" s="1"/>
  <c r="E237"/>
  <c r="D237"/>
  <c r="F237" s="1"/>
  <c r="H236"/>
  <c r="G236"/>
  <c r="I236" s="1"/>
  <c r="E236"/>
  <c r="D236"/>
  <c r="D242" s="1"/>
  <c r="H235"/>
  <c r="H242" s="1"/>
  <c r="G235"/>
  <c r="I235" s="1"/>
  <c r="F235"/>
  <c r="E235"/>
  <c r="H234"/>
  <c r="G234"/>
  <c r="I234" s="1"/>
  <c r="E234"/>
  <c r="D234"/>
  <c r="F234" s="1"/>
  <c r="H233"/>
  <c r="G233"/>
  <c r="I233" s="1"/>
  <c r="E233"/>
  <c r="D233"/>
  <c r="F233" s="1"/>
  <c r="H232"/>
  <c r="G232"/>
  <c r="I232" s="1"/>
  <c r="E232"/>
  <c r="D232"/>
  <c r="F232" s="1"/>
  <c r="I231"/>
  <c r="G231"/>
  <c r="F231"/>
  <c r="D231"/>
  <c r="H230"/>
  <c r="G230"/>
  <c r="I230" s="1"/>
  <c r="E230"/>
  <c r="D230"/>
  <c r="F230" s="1"/>
  <c r="H229"/>
  <c r="G229"/>
  <c r="I229" s="1"/>
  <c r="E229"/>
  <c r="D229"/>
  <c r="F229" s="1"/>
  <c r="H228"/>
  <c r="G228"/>
  <c r="I228" s="1"/>
  <c r="E228"/>
  <c r="D228"/>
  <c r="F228" s="1"/>
  <c r="H227"/>
  <c r="G227"/>
  <c r="I227" s="1"/>
  <c r="E227"/>
  <c r="D227"/>
  <c r="F227" s="1"/>
  <c r="H226"/>
  <c r="G226"/>
  <c r="I226" s="1"/>
  <c r="E226"/>
  <c r="D226"/>
  <c r="F226" s="1"/>
  <c r="I225"/>
  <c r="H225"/>
  <c r="F225"/>
  <c r="E225"/>
  <c r="I224"/>
  <c r="G224"/>
  <c r="F224"/>
  <c r="D224"/>
  <c r="H223"/>
  <c r="G223"/>
  <c r="I223" s="1"/>
  <c r="E223"/>
  <c r="D223"/>
  <c r="F223" s="1"/>
  <c r="H222"/>
  <c r="G222"/>
  <c r="I222" s="1"/>
  <c r="E222"/>
  <c r="D222"/>
  <c r="F222" s="1"/>
  <c r="H221"/>
  <c r="G221"/>
  <c r="I221" s="1"/>
  <c r="E221"/>
  <c r="D221"/>
  <c r="F221" s="1"/>
  <c r="H220"/>
  <c r="G220"/>
  <c r="I220" s="1"/>
  <c r="E220"/>
  <c r="D220"/>
  <c r="F220" s="1"/>
  <c r="I219"/>
  <c r="H219"/>
  <c r="F219"/>
  <c r="E219"/>
  <c r="H218"/>
  <c r="G218"/>
  <c r="I218" s="1"/>
  <c r="E218"/>
  <c r="D218"/>
  <c r="F218" s="1"/>
  <c r="I217"/>
  <c r="H217"/>
  <c r="F217"/>
  <c r="E217"/>
  <c r="I216"/>
  <c r="F216"/>
  <c r="H215"/>
  <c r="G215"/>
  <c r="I215" s="1"/>
  <c r="E215"/>
  <c r="D215"/>
  <c r="F215" s="1"/>
  <c r="I214"/>
  <c r="G214"/>
  <c r="F214"/>
  <c r="D214"/>
  <c r="I213"/>
  <c r="F213"/>
  <c r="H212"/>
  <c r="G212"/>
  <c r="I212" s="1"/>
  <c r="E212"/>
  <c r="D212"/>
  <c r="F212" s="1"/>
  <c r="I211"/>
  <c r="G211"/>
  <c r="F211"/>
  <c r="D211"/>
  <c r="H210"/>
  <c r="G210"/>
  <c r="I210" s="1"/>
  <c r="E210"/>
  <c r="D210"/>
  <c r="F210" s="1"/>
  <c r="I209"/>
  <c r="G209"/>
  <c r="F209"/>
  <c r="D209"/>
  <c r="H208"/>
  <c r="G208"/>
  <c r="I208" s="1"/>
  <c r="E208"/>
  <c r="D208"/>
  <c r="F208" s="1"/>
  <c r="I207"/>
  <c r="G207"/>
  <c r="F207"/>
  <c r="D207"/>
  <c r="I206"/>
  <c r="E206"/>
  <c r="D206"/>
  <c r="F206" s="1"/>
  <c r="H205"/>
  <c r="G205"/>
  <c r="I205" s="1"/>
  <c r="E205"/>
  <c r="D205"/>
  <c r="F205" s="1"/>
  <c r="H204"/>
  <c r="G204"/>
  <c r="I204" s="1"/>
  <c r="E204"/>
  <c r="D204"/>
  <c r="F204" s="1"/>
  <c r="H203"/>
  <c r="G203"/>
  <c r="I203" s="1"/>
  <c r="E203"/>
  <c r="D203"/>
  <c r="F203" s="1"/>
  <c r="H202"/>
  <c r="G202"/>
  <c r="I202" s="1"/>
  <c r="E202"/>
  <c r="D202"/>
  <c r="F202" s="1"/>
  <c r="H201"/>
  <c r="G201"/>
  <c r="I201" s="1"/>
  <c r="E201"/>
  <c r="D201"/>
  <c r="F201" s="1"/>
  <c r="H200"/>
  <c r="G200"/>
  <c r="I200" s="1"/>
  <c r="E200"/>
  <c r="D200"/>
  <c r="F200" s="1"/>
  <c r="H199"/>
  <c r="G199"/>
  <c r="I199" s="1"/>
  <c r="E199"/>
  <c r="D199"/>
  <c r="F199" s="1"/>
  <c r="H198"/>
  <c r="G198"/>
  <c r="I198" s="1"/>
  <c r="E198"/>
  <c r="D198"/>
  <c r="F198" s="1"/>
  <c r="H197"/>
  <c r="G197"/>
  <c r="I197" s="1"/>
  <c r="E197"/>
  <c r="D197"/>
  <c r="F197" s="1"/>
  <c r="I196"/>
  <c r="E196"/>
  <c r="D196"/>
  <c r="F196" s="1"/>
  <c r="H195"/>
  <c r="G195"/>
  <c r="I195" s="1"/>
  <c r="E195"/>
  <c r="D195"/>
  <c r="F195" s="1"/>
  <c r="I194"/>
  <c r="F194"/>
  <c r="H193"/>
  <c r="G193"/>
  <c r="G242" s="1"/>
  <c r="I242" s="1"/>
  <c r="E193"/>
  <c r="E242" s="1"/>
  <c r="D193"/>
  <c r="F193" s="1"/>
  <c r="H190"/>
  <c r="G190"/>
  <c r="I190" s="1"/>
  <c r="E190"/>
  <c r="D190"/>
  <c r="F190" s="1"/>
  <c r="H189"/>
  <c r="G189"/>
  <c r="I189" s="1"/>
  <c r="E189"/>
  <c r="D189"/>
  <c r="F189" s="1"/>
  <c r="H188"/>
  <c r="G188"/>
  <c r="I188" s="1"/>
  <c r="E188"/>
  <c r="D188"/>
  <c r="F188" s="1"/>
  <c r="H187"/>
  <c r="G187"/>
  <c r="I187" s="1"/>
  <c r="E187"/>
  <c r="D187"/>
  <c r="F187" s="1"/>
  <c r="H186"/>
  <c r="G186"/>
  <c r="I186" s="1"/>
  <c r="E186"/>
  <c r="D186"/>
  <c r="F186" s="1"/>
  <c r="H185"/>
  <c r="G185"/>
  <c r="I185" s="1"/>
  <c r="E185"/>
  <c r="D185"/>
  <c r="F185" s="1"/>
  <c r="H184"/>
  <c r="G184"/>
  <c r="I184" s="1"/>
  <c r="E184"/>
  <c r="D184"/>
  <c r="F184" s="1"/>
  <c r="I183"/>
  <c r="H183"/>
  <c r="F183"/>
  <c r="E183"/>
  <c r="I182"/>
  <c r="F182"/>
  <c r="I181"/>
  <c r="G181"/>
  <c r="E181"/>
  <c r="D181"/>
  <c r="F181" s="1"/>
  <c r="H180"/>
  <c r="G180"/>
  <c r="I180" s="1"/>
  <c r="E180"/>
  <c r="D180"/>
  <c r="F180" s="1"/>
  <c r="H179"/>
  <c r="G179"/>
  <c r="I179" s="1"/>
  <c r="E179"/>
  <c r="D179"/>
  <c r="F179" s="1"/>
  <c r="H178"/>
  <c r="I178" s="1"/>
  <c r="E178"/>
  <c r="D178"/>
  <c r="F178" s="1"/>
  <c r="H177"/>
  <c r="G177"/>
  <c r="I177" s="1"/>
  <c r="E177"/>
  <c r="D177"/>
  <c r="F177" s="1"/>
  <c r="H176"/>
  <c r="G176"/>
  <c r="I176" s="1"/>
  <c r="E176"/>
  <c r="D176"/>
  <c r="F176" s="1"/>
  <c r="H175"/>
  <c r="G175"/>
  <c r="I175" s="1"/>
  <c r="E175"/>
  <c r="D175"/>
  <c r="F175" s="1"/>
  <c r="H174"/>
  <c r="G174"/>
  <c r="I174" s="1"/>
  <c r="E174"/>
  <c r="D174"/>
  <c r="F174" s="1"/>
  <c r="I173"/>
  <c r="H173"/>
  <c r="F173"/>
  <c r="E173"/>
  <c r="H172"/>
  <c r="G172"/>
  <c r="I172" s="1"/>
  <c r="E172"/>
  <c r="D172"/>
  <c r="F172" s="1"/>
  <c r="H171"/>
  <c r="G171"/>
  <c r="I171" s="1"/>
  <c r="F171"/>
  <c r="H170"/>
  <c r="H191" s="1"/>
  <c r="G170"/>
  <c r="G191" s="1"/>
  <c r="I191" s="1"/>
  <c r="E170"/>
  <c r="E191" s="1"/>
  <c r="D170"/>
  <c r="F170" s="1"/>
  <c r="I169"/>
  <c r="G169"/>
  <c r="F169"/>
  <c r="D169"/>
  <c r="D191" s="1"/>
  <c r="F191" s="1"/>
  <c r="I168"/>
  <c r="F168"/>
  <c r="I165"/>
  <c r="F165"/>
  <c r="I164"/>
  <c r="F164"/>
  <c r="H163"/>
  <c r="G163"/>
  <c r="I163" s="1"/>
  <c r="F163"/>
  <c r="I162"/>
  <c r="G162"/>
  <c r="E162"/>
  <c r="D162"/>
  <c r="F162" s="1"/>
  <c r="H161"/>
  <c r="G161"/>
  <c r="I161" s="1"/>
  <c r="F161"/>
  <c r="D161"/>
  <c r="I160"/>
  <c r="G160"/>
  <c r="F160"/>
  <c r="D160"/>
  <c r="H159"/>
  <c r="G159"/>
  <c r="I159" s="1"/>
  <c r="E159"/>
  <c r="D159"/>
  <c r="F159" s="1"/>
  <c r="I158"/>
  <c r="G158"/>
  <c r="F158"/>
  <c r="D158"/>
  <c r="I157"/>
  <c r="F157"/>
  <c r="H156"/>
  <c r="G156"/>
  <c r="I156" s="1"/>
  <c r="E156"/>
  <c r="D156"/>
  <c r="F156" s="1"/>
  <c r="I155"/>
  <c r="F155"/>
  <c r="I154"/>
  <c r="F154"/>
  <c r="I153"/>
  <c r="F153"/>
  <c r="I152"/>
  <c r="F152"/>
  <c r="I151"/>
  <c r="F151"/>
  <c r="H150"/>
  <c r="G150"/>
  <c r="I150" s="1"/>
  <c r="E150"/>
  <c r="D150"/>
  <c r="F150" s="1"/>
  <c r="I149"/>
  <c r="G149"/>
  <c r="F149"/>
  <c r="D149"/>
  <c r="H148"/>
  <c r="H166" s="1"/>
  <c r="G148"/>
  <c r="G166" s="1"/>
  <c r="E148"/>
  <c r="E166" s="1"/>
  <c r="D148"/>
  <c r="D166" s="1"/>
  <c r="I147"/>
  <c r="F147"/>
  <c r="I146"/>
  <c r="F146"/>
  <c r="E144"/>
  <c r="I143"/>
  <c r="F143"/>
  <c r="I142"/>
  <c r="F142"/>
  <c r="I141"/>
  <c r="F141"/>
  <c r="I140"/>
  <c r="H140"/>
  <c r="F140"/>
  <c r="E140"/>
  <c r="I139"/>
  <c r="H139"/>
  <c r="F139"/>
  <c r="E139"/>
  <c r="H138"/>
  <c r="G138"/>
  <c r="G144" s="1"/>
  <c r="I144" s="1"/>
  <c r="F138"/>
  <c r="I137"/>
  <c r="F137"/>
  <c r="I136"/>
  <c r="F136"/>
  <c r="I135"/>
  <c r="H135"/>
  <c r="F135"/>
  <c r="E135"/>
  <c r="I134"/>
  <c r="H134"/>
  <c r="F134"/>
  <c r="E134"/>
  <c r="I133"/>
  <c r="G133"/>
  <c r="F133"/>
  <c r="D133"/>
  <c r="I132"/>
  <c r="F132"/>
  <c r="I131"/>
  <c r="F131"/>
  <c r="I130"/>
  <c r="F130"/>
  <c r="I129"/>
  <c r="F129"/>
  <c r="I128"/>
  <c r="F128"/>
  <c r="I127"/>
  <c r="H127"/>
  <c r="F127"/>
  <c r="D127"/>
  <c r="I126"/>
  <c r="H126"/>
  <c r="H144" s="1"/>
  <c r="F126"/>
  <c r="E126"/>
  <c r="I125"/>
  <c r="G125"/>
  <c r="F125"/>
  <c r="D125"/>
  <c r="D144" s="1"/>
  <c r="F144" s="1"/>
  <c r="I124"/>
  <c r="G124"/>
  <c r="F124"/>
  <c r="H122"/>
  <c r="G122"/>
  <c r="I122" s="1"/>
  <c r="E122"/>
  <c r="D122"/>
  <c r="F122" s="1"/>
  <c r="I121"/>
  <c r="F121"/>
  <c r="H119"/>
  <c r="G119"/>
  <c r="I119" s="1"/>
  <c r="E119"/>
  <c r="D119"/>
  <c r="F119" s="1"/>
  <c r="I118"/>
  <c r="F118"/>
  <c r="I115"/>
  <c r="F115"/>
  <c r="H114"/>
  <c r="I114" s="1"/>
  <c r="E114"/>
  <c r="F114" s="1"/>
  <c r="H113"/>
  <c r="H116" s="1"/>
  <c r="G113"/>
  <c r="G116" s="1"/>
  <c r="I116" s="1"/>
  <c r="E113"/>
  <c r="E116" s="1"/>
  <c r="D113"/>
  <c r="D116" s="1"/>
  <c r="F116" s="1"/>
  <c r="I112"/>
  <c r="F112"/>
  <c r="I109"/>
  <c r="F109"/>
  <c r="I108"/>
  <c r="F108"/>
  <c r="I107"/>
  <c r="F107"/>
  <c r="I106"/>
  <c r="F106"/>
  <c r="I105"/>
  <c r="F105"/>
  <c r="H104"/>
  <c r="G104"/>
  <c r="I104" s="1"/>
  <c r="E104"/>
  <c r="D104"/>
  <c r="F104" s="1"/>
  <c r="H103"/>
  <c r="G103"/>
  <c r="I103" s="1"/>
  <c r="E103"/>
  <c r="D103"/>
  <c r="F103" s="1"/>
  <c r="H102"/>
  <c r="H110" s="1"/>
  <c r="G102"/>
  <c r="G110" s="1"/>
  <c r="I110" s="1"/>
  <c r="E102"/>
  <c r="E110" s="1"/>
  <c r="D102"/>
  <c r="D110" s="1"/>
  <c r="F110" s="1"/>
  <c r="I101"/>
  <c r="F101"/>
  <c r="H99"/>
  <c r="G99"/>
  <c r="I99" s="1"/>
  <c r="I98"/>
  <c r="E98"/>
  <c r="D98"/>
  <c r="F98" s="1"/>
  <c r="I97"/>
  <c r="F97"/>
  <c r="I96"/>
  <c r="F96"/>
  <c r="I95"/>
  <c r="F95"/>
  <c r="I94"/>
  <c r="F94"/>
  <c r="I93"/>
  <c r="E93"/>
  <c r="D93"/>
  <c r="D99" s="1"/>
  <c r="F99" s="1"/>
  <c r="I92"/>
  <c r="F92"/>
  <c r="I91"/>
  <c r="F91"/>
  <c r="I90"/>
  <c r="F90"/>
  <c r="I89"/>
  <c r="F89"/>
  <c r="E89"/>
  <c r="E99" s="1"/>
  <c r="I88"/>
  <c r="F88"/>
  <c r="I87"/>
  <c r="F87"/>
  <c r="I86"/>
  <c r="F86"/>
  <c r="I85"/>
  <c r="F85"/>
  <c r="H82"/>
  <c r="G82"/>
  <c r="G83" s="1"/>
  <c r="F82"/>
  <c r="I81"/>
  <c r="F81"/>
  <c r="I80"/>
  <c r="E80"/>
  <c r="D80"/>
  <c r="F80" s="1"/>
  <c r="I79"/>
  <c r="F79"/>
  <c r="I78"/>
  <c r="H78"/>
  <c r="H83" s="1"/>
  <c r="F78"/>
  <c r="E78"/>
  <c r="I77"/>
  <c r="F77"/>
  <c r="I76"/>
  <c r="F76"/>
  <c r="I75"/>
  <c r="F75"/>
  <c r="I74"/>
  <c r="F74"/>
  <c r="I73"/>
  <c r="E73"/>
  <c r="E83" s="1"/>
  <c r="D73"/>
  <c r="D83" s="1"/>
  <c r="G71"/>
  <c r="E71"/>
  <c r="D71"/>
  <c r="F71" s="1"/>
  <c r="I70"/>
  <c r="H70"/>
  <c r="H71" s="1"/>
  <c r="F70"/>
  <c r="E70"/>
  <c r="E42"/>
  <c r="D41"/>
  <c r="F40"/>
  <c r="F43" s="1"/>
  <c r="E37"/>
  <c r="E35"/>
  <c r="D34"/>
  <c r="F36" s="1"/>
  <c r="F33"/>
  <c r="E30"/>
  <c r="E44" s="1"/>
  <c r="D29"/>
  <c r="D37" s="1"/>
  <c r="F28"/>
  <c r="I290" i="2"/>
  <c r="I284"/>
  <c r="I277"/>
  <c r="H265"/>
  <c r="G265"/>
  <c r="I265" s="1"/>
  <c r="E265"/>
  <c r="D265"/>
  <c r="F265" s="1"/>
  <c r="H264"/>
  <c r="I264" s="1"/>
  <c r="H263"/>
  <c r="I263" s="1"/>
  <c r="H262"/>
  <c r="G262"/>
  <c r="I262" s="1"/>
  <c r="F262"/>
  <c r="D262"/>
  <c r="H261"/>
  <c r="G261"/>
  <c r="I261" s="1"/>
  <c r="D261"/>
  <c r="F261" s="1"/>
  <c r="H260"/>
  <c r="G260"/>
  <c r="I260" s="1"/>
  <c r="F260"/>
  <c r="E260"/>
  <c r="H259"/>
  <c r="G259"/>
  <c r="I259" s="1"/>
  <c r="E259"/>
  <c r="F259" s="1"/>
  <c r="H258"/>
  <c r="G258"/>
  <c r="I258" s="1"/>
  <c r="F258"/>
  <c r="E258"/>
  <c r="I257"/>
  <c r="H257"/>
  <c r="E257"/>
  <c r="D257"/>
  <c r="F257" s="1"/>
  <c r="H256"/>
  <c r="G256"/>
  <c r="I256" s="1"/>
  <c r="F256"/>
  <c r="E256"/>
  <c r="H255"/>
  <c r="G255"/>
  <c r="I255" s="1"/>
  <c r="E255"/>
  <c r="F255" s="1"/>
  <c r="H254"/>
  <c r="I254" s="1"/>
  <c r="E254"/>
  <c r="F254" s="1"/>
  <c r="H253"/>
  <c r="I253" s="1"/>
  <c r="E253"/>
  <c r="F253" s="1"/>
  <c r="H252"/>
  <c r="G252"/>
  <c r="I252" s="1"/>
  <c r="F252"/>
  <c r="D252"/>
  <c r="I251"/>
  <c r="G251"/>
  <c r="E251"/>
  <c r="D251"/>
  <c r="F251" s="1"/>
  <c r="H250"/>
  <c r="H266" s="1"/>
  <c r="G250"/>
  <c r="G266" s="1"/>
  <c r="E250"/>
  <c r="E266" s="1"/>
  <c r="D250"/>
  <c r="D266" s="1"/>
  <c r="H247"/>
  <c r="H248" s="1"/>
  <c r="G247"/>
  <c r="G248" s="1"/>
  <c r="E247"/>
  <c r="E248" s="1"/>
  <c r="D247"/>
  <c r="D248" s="1"/>
  <c r="H245"/>
  <c r="G245"/>
  <c r="I245" s="1"/>
  <c r="D245"/>
  <c r="F245" s="1"/>
  <c r="I244"/>
  <c r="F244"/>
  <c r="E244"/>
  <c r="E245" s="1"/>
  <c r="I241"/>
  <c r="H241"/>
  <c r="F241"/>
  <c r="E241"/>
  <c r="H240"/>
  <c r="G240"/>
  <c r="I240" s="1"/>
  <c r="E240"/>
  <c r="D240"/>
  <c r="F240" s="1"/>
  <c r="I239"/>
  <c r="H239"/>
  <c r="E239"/>
  <c r="D239"/>
  <c r="F239" s="1"/>
  <c r="H238"/>
  <c r="G238"/>
  <c r="I238" s="1"/>
  <c r="E238"/>
  <c r="D238"/>
  <c r="F238" s="1"/>
  <c r="H237"/>
  <c r="G237"/>
  <c r="I237" s="1"/>
  <c r="E237"/>
  <c r="D237"/>
  <c r="F237" s="1"/>
  <c r="H236"/>
  <c r="I236" s="1"/>
  <c r="E236"/>
  <c r="F236" s="1"/>
  <c r="H235"/>
  <c r="G235"/>
  <c r="I235" s="1"/>
  <c r="E235"/>
  <c r="D235"/>
  <c r="F235" s="1"/>
  <c r="H234"/>
  <c r="G234"/>
  <c r="I234" s="1"/>
  <c r="E234"/>
  <c r="D234"/>
  <c r="F234" s="1"/>
  <c r="H233"/>
  <c r="G233"/>
  <c r="I233" s="1"/>
  <c r="E233"/>
  <c r="D233"/>
  <c r="F233" s="1"/>
  <c r="G232"/>
  <c r="I232" s="1"/>
  <c r="D232"/>
  <c r="F232" s="1"/>
  <c r="H231"/>
  <c r="G231"/>
  <c r="I231" s="1"/>
  <c r="E231"/>
  <c r="D231"/>
  <c r="F231" s="1"/>
  <c r="H230"/>
  <c r="G230"/>
  <c r="I230" s="1"/>
  <c r="E230"/>
  <c r="D230"/>
  <c r="F230" s="1"/>
  <c r="H229"/>
  <c r="G229"/>
  <c r="I229" s="1"/>
  <c r="E229"/>
  <c r="D229"/>
  <c r="F229" s="1"/>
  <c r="H228"/>
  <c r="G228"/>
  <c r="I228" s="1"/>
  <c r="E228"/>
  <c r="D228"/>
  <c r="F228" s="1"/>
  <c r="H227"/>
  <c r="G227"/>
  <c r="I227" s="1"/>
  <c r="E227"/>
  <c r="D227"/>
  <c r="F227" s="1"/>
  <c r="H226"/>
  <c r="I226" s="1"/>
  <c r="E226"/>
  <c r="D226"/>
  <c r="F226" s="1"/>
  <c r="I225"/>
  <c r="G225"/>
  <c r="F225"/>
  <c r="D225"/>
  <c r="H224"/>
  <c r="G224"/>
  <c r="I224" s="1"/>
  <c r="E224"/>
  <c r="F224" s="1"/>
  <c r="H223"/>
  <c r="G223"/>
  <c r="I223" s="1"/>
  <c r="E223"/>
  <c r="D223"/>
  <c r="F223" s="1"/>
  <c r="H222"/>
  <c r="G222"/>
  <c r="I222" s="1"/>
  <c r="E222"/>
  <c r="D222"/>
  <c r="F222" s="1"/>
  <c r="H221"/>
  <c r="G221"/>
  <c r="I221" s="1"/>
  <c r="E221"/>
  <c r="D221"/>
  <c r="F221" s="1"/>
  <c r="H220"/>
  <c r="I220" s="1"/>
  <c r="E220"/>
  <c r="F220" s="1"/>
  <c r="H219"/>
  <c r="G219"/>
  <c r="I219" s="1"/>
  <c r="E219"/>
  <c r="D219"/>
  <c r="F219" s="1"/>
  <c r="H218"/>
  <c r="I218" s="1"/>
  <c r="E218"/>
  <c r="F218" s="1"/>
  <c r="I217"/>
  <c r="E217"/>
  <c r="D217"/>
  <c r="F217" s="1"/>
  <c r="H216"/>
  <c r="G216"/>
  <c r="I216" s="1"/>
  <c r="E216"/>
  <c r="D216"/>
  <c r="F216" s="1"/>
  <c r="G215"/>
  <c r="I215" s="1"/>
  <c r="D215"/>
  <c r="F215" s="1"/>
  <c r="I214"/>
  <c r="F214"/>
  <c r="H213"/>
  <c r="G213"/>
  <c r="I213" s="1"/>
  <c r="E213"/>
  <c r="D213"/>
  <c r="F213" s="1"/>
  <c r="G212"/>
  <c r="I212" s="1"/>
  <c r="D212"/>
  <c r="F212" s="1"/>
  <c r="H211"/>
  <c r="G211"/>
  <c r="I211" s="1"/>
  <c r="E211"/>
  <c r="D211"/>
  <c r="F211" s="1"/>
  <c r="G210"/>
  <c r="I210" s="1"/>
  <c r="D210"/>
  <c r="F210" s="1"/>
  <c r="H209"/>
  <c r="G209"/>
  <c r="I209" s="1"/>
  <c r="E209"/>
  <c r="D209"/>
  <c r="F209" s="1"/>
  <c r="G208"/>
  <c r="I208" s="1"/>
  <c r="D208"/>
  <c r="F208" s="1"/>
  <c r="H207"/>
  <c r="G207"/>
  <c r="I207" s="1"/>
  <c r="E207"/>
  <c r="D207"/>
  <c r="F207" s="1"/>
  <c r="H206"/>
  <c r="G206"/>
  <c r="I206" s="1"/>
  <c r="E206"/>
  <c r="D206"/>
  <c r="F206" s="1"/>
  <c r="H205"/>
  <c r="G205"/>
  <c r="I205" s="1"/>
  <c r="E205"/>
  <c r="D205"/>
  <c r="F205" s="1"/>
  <c r="H204"/>
  <c r="G204"/>
  <c r="I204" s="1"/>
  <c r="E204"/>
  <c r="D204"/>
  <c r="F204" s="1"/>
  <c r="H203"/>
  <c r="G203"/>
  <c r="I203" s="1"/>
  <c r="E203"/>
  <c r="D203"/>
  <c r="F203" s="1"/>
  <c r="H202"/>
  <c r="G202"/>
  <c r="I202" s="1"/>
  <c r="E202"/>
  <c r="D202"/>
  <c r="F202" s="1"/>
  <c r="H201"/>
  <c r="G201"/>
  <c r="I201" s="1"/>
  <c r="E201"/>
  <c r="D201"/>
  <c r="F201" s="1"/>
  <c r="H200"/>
  <c r="G200"/>
  <c r="I200" s="1"/>
  <c r="F200"/>
  <c r="H199"/>
  <c r="G199"/>
  <c r="I199" s="1"/>
  <c r="F199"/>
  <c r="H198"/>
  <c r="G198"/>
  <c r="I198" s="1"/>
  <c r="E198"/>
  <c r="D198"/>
  <c r="F198" s="1"/>
  <c r="H197"/>
  <c r="G197"/>
  <c r="I197" s="1"/>
  <c r="E197"/>
  <c r="D197"/>
  <c r="F197" s="1"/>
  <c r="H196"/>
  <c r="G196"/>
  <c r="I196" s="1"/>
  <c r="E196"/>
  <c r="D196"/>
  <c r="F196" s="1"/>
  <c r="I195"/>
  <c r="F195"/>
  <c r="H194"/>
  <c r="H242" s="1"/>
  <c r="G194"/>
  <c r="I194" s="1"/>
  <c r="E194"/>
  <c r="D194"/>
  <c r="D242" s="1"/>
  <c r="H191"/>
  <c r="G191"/>
  <c r="I191" s="1"/>
  <c r="E191"/>
  <c r="D191"/>
  <c r="F191" s="1"/>
  <c r="H190"/>
  <c r="G190"/>
  <c r="I190" s="1"/>
  <c r="E190"/>
  <c r="D190"/>
  <c r="F190" s="1"/>
  <c r="H189"/>
  <c r="G189"/>
  <c r="I189" s="1"/>
  <c r="E189"/>
  <c r="D189"/>
  <c r="F189" s="1"/>
  <c r="H188"/>
  <c r="G188"/>
  <c r="I188" s="1"/>
  <c r="E188"/>
  <c r="D188"/>
  <c r="F188" s="1"/>
  <c r="H187"/>
  <c r="G187"/>
  <c r="I187" s="1"/>
  <c r="E187"/>
  <c r="D187"/>
  <c r="F187" s="1"/>
  <c r="H186"/>
  <c r="G186"/>
  <c r="I186" s="1"/>
  <c r="E186"/>
  <c r="D186"/>
  <c r="F186" s="1"/>
  <c r="H185"/>
  <c r="G185"/>
  <c r="I185" s="1"/>
  <c r="E185"/>
  <c r="D185"/>
  <c r="F185" s="1"/>
  <c r="H184"/>
  <c r="I184" s="1"/>
  <c r="E184"/>
  <c r="F184" s="1"/>
  <c r="I183"/>
  <c r="F183"/>
  <c r="H182"/>
  <c r="G182"/>
  <c r="I182" s="1"/>
  <c r="E182"/>
  <c r="D182"/>
  <c r="F182" s="1"/>
  <c r="H181"/>
  <c r="G181"/>
  <c r="I181" s="1"/>
  <c r="E181"/>
  <c r="D181"/>
  <c r="F181" s="1"/>
  <c r="H180"/>
  <c r="G180"/>
  <c r="I180" s="1"/>
  <c r="E180"/>
  <c r="D180"/>
  <c r="D192" s="1"/>
  <c r="H179"/>
  <c r="H192" s="1"/>
  <c r="G179"/>
  <c r="I179" s="1"/>
  <c r="F179"/>
  <c r="E179"/>
  <c r="H178"/>
  <c r="G178"/>
  <c r="I178" s="1"/>
  <c r="F178"/>
  <c r="H177"/>
  <c r="G177"/>
  <c r="I177" s="1"/>
  <c r="E177"/>
  <c r="D177"/>
  <c r="F177" s="1"/>
  <c r="H176"/>
  <c r="G176"/>
  <c r="I176" s="1"/>
  <c r="E176"/>
  <c r="D176"/>
  <c r="F176" s="1"/>
  <c r="H175"/>
  <c r="G175"/>
  <c r="I175" s="1"/>
  <c r="E175"/>
  <c r="D175"/>
  <c r="F175" s="1"/>
  <c r="I174"/>
  <c r="H174"/>
  <c r="F174"/>
  <c r="E174"/>
  <c r="H173"/>
  <c r="G173"/>
  <c r="I173" s="1"/>
  <c r="E173"/>
  <c r="D173"/>
  <c r="F173" s="1"/>
  <c r="I172"/>
  <c r="F172"/>
  <c r="H171"/>
  <c r="G171"/>
  <c r="I171" s="1"/>
  <c r="E171"/>
  <c r="E192" s="1"/>
  <c r="D171"/>
  <c r="F171" s="1"/>
  <c r="I170"/>
  <c r="G170"/>
  <c r="G192" s="1"/>
  <c r="I192" s="1"/>
  <c r="F170"/>
  <c r="D170"/>
  <c r="I169"/>
  <c r="F169"/>
  <c r="I166"/>
  <c r="F166"/>
  <c r="I165"/>
  <c r="F165"/>
  <c r="I164"/>
  <c r="E164"/>
  <c r="D164"/>
  <c r="F164" s="1"/>
  <c r="H163"/>
  <c r="G163"/>
  <c r="I163" s="1"/>
  <c r="E163"/>
  <c r="F163" s="1"/>
  <c r="G162"/>
  <c r="I162" s="1"/>
  <c r="D162"/>
  <c r="F162" s="1"/>
  <c r="G161"/>
  <c r="I161" s="1"/>
  <c r="D161"/>
  <c r="F161" s="1"/>
  <c r="H160"/>
  <c r="G160"/>
  <c r="I160" s="1"/>
  <c r="E160"/>
  <c r="D160"/>
  <c r="F160" s="1"/>
  <c r="G159"/>
  <c r="I159" s="1"/>
  <c r="D159"/>
  <c r="F159" s="1"/>
  <c r="I158"/>
  <c r="F158"/>
  <c r="H157"/>
  <c r="G157"/>
  <c r="I157" s="1"/>
  <c r="E157"/>
  <c r="D157"/>
  <c r="F157" s="1"/>
  <c r="I156"/>
  <c r="F156"/>
  <c r="I155"/>
  <c r="F155"/>
  <c r="I154"/>
  <c r="F154"/>
  <c r="I153"/>
  <c r="F153"/>
  <c r="I152"/>
  <c r="F152"/>
  <c r="H151"/>
  <c r="G151"/>
  <c r="I151" s="1"/>
  <c r="E151"/>
  <c r="D151"/>
  <c r="D167" s="1"/>
  <c r="G150"/>
  <c r="I150" s="1"/>
  <c r="E150"/>
  <c r="F150" s="1"/>
  <c r="H149"/>
  <c r="H167" s="1"/>
  <c r="G149"/>
  <c r="I149" s="1"/>
  <c r="F149"/>
  <c r="I148"/>
  <c r="F148"/>
  <c r="I147"/>
  <c r="F147"/>
  <c r="I144"/>
  <c r="F144"/>
  <c r="I143"/>
  <c r="F143"/>
  <c r="I142"/>
  <c r="F142"/>
  <c r="H141"/>
  <c r="I141" s="1"/>
  <c r="E141"/>
  <c r="F141" s="1"/>
  <c r="H140"/>
  <c r="I140" s="1"/>
  <c r="E140"/>
  <c r="F140" s="1"/>
  <c r="I139"/>
  <c r="E139"/>
  <c r="D139"/>
  <c r="F139" s="1"/>
  <c r="I138"/>
  <c r="F138"/>
  <c r="I137"/>
  <c r="F137"/>
  <c r="H136"/>
  <c r="I136" s="1"/>
  <c r="E136"/>
  <c r="F136" s="1"/>
  <c r="H135"/>
  <c r="I135" s="1"/>
  <c r="E135"/>
  <c r="F135" s="1"/>
  <c r="G134"/>
  <c r="I134" s="1"/>
  <c r="D134"/>
  <c r="F134" s="1"/>
  <c r="I133"/>
  <c r="F133"/>
  <c r="I132"/>
  <c r="F132"/>
  <c r="I131"/>
  <c r="F131"/>
  <c r="I130"/>
  <c r="F130"/>
  <c r="I129"/>
  <c r="F129"/>
  <c r="G128"/>
  <c r="I128" s="1"/>
  <c r="E128"/>
  <c r="D128"/>
  <c r="F128" s="1"/>
  <c r="I127"/>
  <c r="H127"/>
  <c r="F127"/>
  <c r="E127"/>
  <c r="E145" s="1"/>
  <c r="I126"/>
  <c r="G126"/>
  <c r="G145" s="1"/>
  <c r="F126"/>
  <c r="D126"/>
  <c r="I125"/>
  <c r="F125"/>
  <c r="H123"/>
  <c r="G123"/>
  <c r="I123" s="1"/>
  <c r="E123"/>
  <c r="D123"/>
  <c r="F123" s="1"/>
  <c r="I122"/>
  <c r="F122"/>
  <c r="H120"/>
  <c r="G120"/>
  <c r="I120" s="1"/>
  <c r="E120"/>
  <c r="D120"/>
  <c r="F120" s="1"/>
  <c r="I119"/>
  <c r="F119"/>
  <c r="I116"/>
  <c r="F116"/>
  <c r="I115"/>
  <c r="H115"/>
  <c r="F115"/>
  <c r="E115"/>
  <c r="H114"/>
  <c r="H117" s="1"/>
  <c r="G114"/>
  <c r="E114"/>
  <c r="E117" s="1"/>
  <c r="D114"/>
  <c r="D117" s="1"/>
  <c r="F117" s="1"/>
  <c r="I113"/>
  <c r="F113"/>
  <c r="H110"/>
  <c r="G110"/>
  <c r="I110" s="1"/>
  <c r="E110"/>
  <c r="D110"/>
  <c r="F110" s="1"/>
  <c r="I109"/>
  <c r="F109"/>
  <c r="I108"/>
  <c r="F108"/>
  <c r="I107"/>
  <c r="F107"/>
  <c r="I106"/>
  <c r="F106"/>
  <c r="I105"/>
  <c r="F105"/>
  <c r="H104"/>
  <c r="G104"/>
  <c r="I104" s="1"/>
  <c r="E104"/>
  <c r="D104"/>
  <c r="H103"/>
  <c r="G103"/>
  <c r="G111" s="1"/>
  <c r="I111" s="1"/>
  <c r="E103"/>
  <c r="D103"/>
  <c r="F103" s="1"/>
  <c r="H102"/>
  <c r="H111" s="1"/>
  <c r="G102"/>
  <c r="I102" s="1"/>
  <c r="E102"/>
  <c r="E111" s="1"/>
  <c r="D102"/>
  <c r="D111" s="1"/>
  <c r="I101"/>
  <c r="F101"/>
  <c r="E99"/>
  <c r="D99"/>
  <c r="H98"/>
  <c r="G98"/>
  <c r="I98" s="1"/>
  <c r="F98"/>
  <c r="I97"/>
  <c r="F97"/>
  <c r="I96"/>
  <c r="F96"/>
  <c r="I95"/>
  <c r="F95"/>
  <c r="I94"/>
  <c r="F94"/>
  <c r="H93"/>
  <c r="G93"/>
  <c r="G99" s="1"/>
  <c r="I99" s="1"/>
  <c r="F93"/>
  <c r="I92"/>
  <c r="F92"/>
  <c r="I91"/>
  <c r="F91"/>
  <c r="I90"/>
  <c r="F90"/>
  <c r="I89"/>
  <c r="H89"/>
  <c r="H99" s="1"/>
  <c r="F89"/>
  <c r="I88"/>
  <c r="F88"/>
  <c r="I87"/>
  <c r="F87"/>
  <c r="I86"/>
  <c r="F86"/>
  <c r="I85"/>
  <c r="F85"/>
  <c r="I82"/>
  <c r="F82"/>
  <c r="I81"/>
  <c r="F81"/>
  <c r="H80"/>
  <c r="G80"/>
  <c r="E80"/>
  <c r="D80"/>
  <c r="F80" s="1"/>
  <c r="I79"/>
  <c r="F79"/>
  <c r="H78"/>
  <c r="I78" s="1"/>
  <c r="E78"/>
  <c r="F78" s="1"/>
  <c r="I77"/>
  <c r="F77"/>
  <c r="I76"/>
  <c r="F76"/>
  <c r="I75"/>
  <c r="F75"/>
  <c r="I74"/>
  <c r="F74"/>
  <c r="H73"/>
  <c r="H83" s="1"/>
  <c r="G73"/>
  <c r="G83" s="1"/>
  <c r="E73"/>
  <c r="E83" s="1"/>
  <c r="D73"/>
  <c r="D83" s="1"/>
  <c r="F83" s="1"/>
  <c r="G71"/>
  <c r="D71"/>
  <c r="H70"/>
  <c r="I70" s="1"/>
  <c r="E70"/>
  <c r="E42"/>
  <c r="D41"/>
  <c r="F43" s="1"/>
  <c r="F40"/>
  <c r="D37"/>
  <c r="E35"/>
  <c r="D34"/>
  <c r="F33"/>
  <c r="F36" s="1"/>
  <c r="E30"/>
  <c r="E37" s="1"/>
  <c r="D29"/>
  <c r="D44" s="1"/>
  <c r="F28"/>
  <c r="F31" s="1"/>
  <c r="F37" s="1"/>
  <c r="F44" s="1"/>
  <c r="I290" i="1"/>
  <c r="I282"/>
  <c r="H272"/>
  <c r="G272"/>
  <c r="I272" s="1"/>
  <c r="E272"/>
  <c r="D272"/>
  <c r="F272" s="1"/>
  <c r="I271"/>
  <c r="G271"/>
  <c r="E271"/>
  <c r="D271"/>
  <c r="F271" s="1"/>
  <c r="G270"/>
  <c r="I270" s="1"/>
  <c r="E270"/>
  <c r="D270"/>
  <c r="F270" s="1"/>
  <c r="I269"/>
  <c r="H269"/>
  <c r="E269"/>
  <c r="D269"/>
  <c r="F269" s="1"/>
  <c r="H268"/>
  <c r="I268" s="1"/>
  <c r="E268"/>
  <c r="D268"/>
  <c r="F268" s="1"/>
  <c r="I267"/>
  <c r="H267"/>
  <c r="E267"/>
  <c r="D267"/>
  <c r="F267" s="1"/>
  <c r="H266"/>
  <c r="G266"/>
  <c r="I266" s="1"/>
  <c r="E266"/>
  <c r="D266"/>
  <c r="F266" s="1"/>
  <c r="H265"/>
  <c r="I265" s="1"/>
  <c r="E265"/>
  <c r="D265"/>
  <c r="F265" s="1"/>
  <c r="I264"/>
  <c r="H264"/>
  <c r="E264"/>
  <c r="D264"/>
  <c r="F264" s="1"/>
  <c r="H263"/>
  <c r="G263"/>
  <c r="I263" s="1"/>
  <c r="F263"/>
  <c r="D263"/>
  <c r="H262"/>
  <c r="G262"/>
  <c r="I262" s="1"/>
  <c r="F262"/>
  <c r="H261"/>
  <c r="G261"/>
  <c r="I261" s="1"/>
  <c r="F261"/>
  <c r="H260"/>
  <c r="G260"/>
  <c r="I260" s="1"/>
  <c r="E260"/>
  <c r="F260" s="1"/>
  <c r="H259"/>
  <c r="G259"/>
  <c r="I259" s="1"/>
  <c r="E259"/>
  <c r="F259" s="1"/>
  <c r="H258"/>
  <c r="G258"/>
  <c r="I258" s="1"/>
  <c r="E258"/>
  <c r="D258"/>
  <c r="F258" s="1"/>
  <c r="H257"/>
  <c r="G257"/>
  <c r="I257" s="1"/>
  <c r="D257"/>
  <c r="F257" s="1"/>
  <c r="H256"/>
  <c r="G256"/>
  <c r="I256" s="1"/>
  <c r="F256"/>
  <c r="E256"/>
  <c r="I255"/>
  <c r="H255"/>
  <c r="F255"/>
  <c r="E255"/>
  <c r="I254"/>
  <c r="H254"/>
  <c r="F254"/>
  <c r="E254"/>
  <c r="I253"/>
  <c r="G253"/>
  <c r="E253"/>
  <c r="D253"/>
  <c r="F253" s="1"/>
  <c r="H252"/>
  <c r="G252"/>
  <c r="I252" s="1"/>
  <c r="F252"/>
  <c r="E252"/>
  <c r="H251"/>
  <c r="H273" s="1"/>
  <c r="G251"/>
  <c r="G273" s="1"/>
  <c r="E251"/>
  <c r="E273" s="1"/>
  <c r="D251"/>
  <c r="D273" s="1"/>
  <c r="H248"/>
  <c r="H249" s="1"/>
  <c r="G248"/>
  <c r="G249" s="1"/>
  <c r="I249" s="1"/>
  <c r="E248"/>
  <c r="E249" s="1"/>
  <c r="D248"/>
  <c r="D249" s="1"/>
  <c r="F249" s="1"/>
  <c r="G246"/>
  <c r="E246"/>
  <c r="D246"/>
  <c r="F246" s="1"/>
  <c r="I245"/>
  <c r="H245"/>
  <c r="H246" s="1"/>
  <c r="F245"/>
  <c r="H242"/>
  <c r="I242" s="1"/>
  <c r="F242"/>
  <c r="E242"/>
  <c r="H241"/>
  <c r="G241"/>
  <c r="I241" s="1"/>
  <c r="E241"/>
  <c r="D241"/>
  <c r="F241" s="1"/>
  <c r="H240"/>
  <c r="G240"/>
  <c r="I240" s="1"/>
  <c r="E240"/>
  <c r="D240"/>
  <c r="F240" s="1"/>
  <c r="H239"/>
  <c r="G239"/>
  <c r="I239" s="1"/>
  <c r="E239"/>
  <c r="D239"/>
  <c r="F239" s="1"/>
  <c r="H238"/>
  <c r="G238"/>
  <c r="I238" s="1"/>
  <c r="E238"/>
  <c r="D238"/>
  <c r="F238" s="1"/>
  <c r="I237"/>
  <c r="H237"/>
  <c r="F237"/>
  <c r="E237"/>
  <c r="H236"/>
  <c r="G236"/>
  <c r="I236" s="1"/>
  <c r="E236"/>
  <c r="D236"/>
  <c r="F236" s="1"/>
  <c r="H235"/>
  <c r="G235"/>
  <c r="I235" s="1"/>
  <c r="D235"/>
  <c r="F235" s="1"/>
  <c r="H234"/>
  <c r="G234"/>
  <c r="I234" s="1"/>
  <c r="E234"/>
  <c r="D234"/>
  <c r="F234" s="1"/>
  <c r="G233"/>
  <c r="I233" s="1"/>
  <c r="E233"/>
  <c r="D233"/>
  <c r="F233" s="1"/>
  <c r="H232"/>
  <c r="G232"/>
  <c r="I232" s="1"/>
  <c r="E232"/>
  <c r="D232"/>
  <c r="F232" s="1"/>
  <c r="H231"/>
  <c r="G231"/>
  <c r="I231" s="1"/>
  <c r="E231"/>
  <c r="D231"/>
  <c r="F231" s="1"/>
  <c r="H230"/>
  <c r="G230"/>
  <c r="I230" s="1"/>
  <c r="E230"/>
  <c r="D230"/>
  <c r="F230" s="1"/>
  <c r="H229"/>
  <c r="G229"/>
  <c r="I229" s="1"/>
  <c r="E229"/>
  <c r="D229"/>
  <c r="F229" s="1"/>
  <c r="H228"/>
  <c r="G228"/>
  <c r="I228" s="1"/>
  <c r="E228"/>
  <c r="D228"/>
  <c r="F228" s="1"/>
  <c r="H227"/>
  <c r="G227"/>
  <c r="I227" s="1"/>
  <c r="E227"/>
  <c r="D227"/>
  <c r="F227" s="1"/>
  <c r="I226"/>
  <c r="G226"/>
  <c r="F226"/>
  <c r="D226"/>
  <c r="I225"/>
  <c r="H225"/>
  <c r="E225"/>
  <c r="D225"/>
  <c r="F225" s="1"/>
  <c r="H224"/>
  <c r="G224"/>
  <c r="I224" s="1"/>
  <c r="E224"/>
  <c r="D224"/>
  <c r="F224" s="1"/>
  <c r="H223"/>
  <c r="G223"/>
  <c r="I223" s="1"/>
  <c r="E223"/>
  <c r="D223"/>
  <c r="F223" s="1"/>
  <c r="H222"/>
  <c r="G222"/>
  <c r="I222" s="1"/>
  <c r="E222"/>
  <c r="D222"/>
  <c r="F222" s="1"/>
  <c r="I221"/>
  <c r="H221"/>
  <c r="F221"/>
  <c r="E221"/>
  <c r="H220"/>
  <c r="G220"/>
  <c r="I220" s="1"/>
  <c r="E220"/>
  <c r="D220"/>
  <c r="F220" s="1"/>
  <c r="I219"/>
  <c r="H219"/>
  <c r="F219"/>
  <c r="H218"/>
  <c r="G218"/>
  <c r="I218" s="1"/>
  <c r="E218"/>
  <c r="D218"/>
  <c r="F218" s="1"/>
  <c r="H217"/>
  <c r="G217"/>
  <c r="I217" s="1"/>
  <c r="E217"/>
  <c r="D217"/>
  <c r="F217" s="1"/>
  <c r="G216"/>
  <c r="I216" s="1"/>
  <c r="D216"/>
  <c r="F216" s="1"/>
  <c r="I215"/>
  <c r="F215"/>
  <c r="H214"/>
  <c r="G214"/>
  <c r="I214" s="1"/>
  <c r="E214"/>
  <c r="D214"/>
  <c r="F214" s="1"/>
  <c r="G213"/>
  <c r="I213" s="1"/>
  <c r="D213"/>
  <c r="F213" s="1"/>
  <c r="H212"/>
  <c r="G212"/>
  <c r="I212" s="1"/>
  <c r="E212"/>
  <c r="D212"/>
  <c r="F212" s="1"/>
  <c r="G211"/>
  <c r="I211" s="1"/>
  <c r="D211"/>
  <c r="F211" s="1"/>
  <c r="H210"/>
  <c r="G210"/>
  <c r="I210" s="1"/>
  <c r="E210"/>
  <c r="D210"/>
  <c r="F210" s="1"/>
  <c r="G209"/>
  <c r="I209" s="1"/>
  <c r="D209"/>
  <c r="F209" s="1"/>
  <c r="H208"/>
  <c r="G208"/>
  <c r="I208" s="1"/>
  <c r="F208"/>
  <c r="H207"/>
  <c r="G207"/>
  <c r="I207" s="1"/>
  <c r="F207"/>
  <c r="H206"/>
  <c r="G206"/>
  <c r="I206" s="1"/>
  <c r="E206"/>
  <c r="D206"/>
  <c r="F206" s="1"/>
  <c r="H205"/>
  <c r="G205"/>
  <c r="I205" s="1"/>
  <c r="E205"/>
  <c r="D205"/>
  <c r="F205" s="1"/>
  <c r="H204"/>
  <c r="G204"/>
  <c r="I204" s="1"/>
  <c r="E204"/>
  <c r="D204"/>
  <c r="F204" s="1"/>
  <c r="H203"/>
  <c r="G203"/>
  <c r="I203" s="1"/>
  <c r="E203"/>
  <c r="D203"/>
  <c r="F203" s="1"/>
  <c r="H202"/>
  <c r="G202"/>
  <c r="I202" s="1"/>
  <c r="E202"/>
  <c r="D202"/>
  <c r="F202" s="1"/>
  <c r="I201"/>
  <c r="F201"/>
  <c r="I200"/>
  <c r="E200"/>
  <c r="D200"/>
  <c r="F200" s="1"/>
  <c r="H199"/>
  <c r="G199"/>
  <c r="I199" s="1"/>
  <c r="E199"/>
  <c r="D199"/>
  <c r="F199" s="1"/>
  <c r="H198"/>
  <c r="G198"/>
  <c r="I198" s="1"/>
  <c r="F198"/>
  <c r="H197"/>
  <c r="G197"/>
  <c r="I197" s="1"/>
  <c r="E197"/>
  <c r="D197"/>
  <c r="F197" s="1"/>
  <c r="I196"/>
  <c r="F196"/>
  <c r="H195"/>
  <c r="H243" s="1"/>
  <c r="G195"/>
  <c r="G243" s="1"/>
  <c r="I243" s="1"/>
  <c r="E195"/>
  <c r="E243" s="1"/>
  <c r="D195"/>
  <c r="D243" s="1"/>
  <c r="F243" s="1"/>
  <c r="H192"/>
  <c r="G192"/>
  <c r="I192" s="1"/>
  <c r="E192"/>
  <c r="D192"/>
  <c r="F192" s="1"/>
  <c r="H191"/>
  <c r="G191"/>
  <c r="I191" s="1"/>
  <c r="E191"/>
  <c r="D191"/>
  <c r="F191" s="1"/>
  <c r="H190"/>
  <c r="G190"/>
  <c r="I190" s="1"/>
  <c r="E190"/>
  <c r="D190"/>
  <c r="F190" s="1"/>
  <c r="H189"/>
  <c r="G189"/>
  <c r="I189" s="1"/>
  <c r="E189"/>
  <c r="D189"/>
  <c r="F189" s="1"/>
  <c r="H188"/>
  <c r="G188"/>
  <c r="I188" s="1"/>
  <c r="E188"/>
  <c r="D188"/>
  <c r="F188" s="1"/>
  <c r="H187"/>
  <c r="G187"/>
  <c r="I187" s="1"/>
  <c r="E187"/>
  <c r="D187"/>
  <c r="F187" s="1"/>
  <c r="H186"/>
  <c r="G186"/>
  <c r="I186" s="1"/>
  <c r="E186"/>
  <c r="D186"/>
  <c r="F186" s="1"/>
  <c r="H185"/>
  <c r="I185" s="1"/>
  <c r="E185"/>
  <c r="F185" s="1"/>
  <c r="I184"/>
  <c r="F184"/>
  <c r="H183"/>
  <c r="G183"/>
  <c r="I183" s="1"/>
  <c r="E183"/>
  <c r="D183"/>
  <c r="F183" s="1"/>
  <c r="H182"/>
  <c r="G182"/>
  <c r="I182" s="1"/>
  <c r="E182"/>
  <c r="D182"/>
  <c r="F182" s="1"/>
  <c r="H181"/>
  <c r="G181"/>
  <c r="I181" s="1"/>
  <c r="E181"/>
  <c r="D181"/>
  <c r="F181" s="1"/>
  <c r="H180"/>
  <c r="I180" s="1"/>
  <c r="E180"/>
  <c r="F180" s="1"/>
  <c r="I179"/>
  <c r="F179"/>
  <c r="H178"/>
  <c r="G178"/>
  <c r="I178" s="1"/>
  <c r="E178"/>
  <c r="D178"/>
  <c r="F178" s="1"/>
  <c r="H177"/>
  <c r="G177"/>
  <c r="I177" s="1"/>
  <c r="E177"/>
  <c r="D177"/>
  <c r="F177" s="1"/>
  <c r="H176"/>
  <c r="G176"/>
  <c r="I176" s="1"/>
  <c r="E176"/>
  <c r="D176"/>
  <c r="F176" s="1"/>
  <c r="H175"/>
  <c r="I175" s="1"/>
  <c r="E175"/>
  <c r="F175" s="1"/>
  <c r="H174"/>
  <c r="G174"/>
  <c r="I174" s="1"/>
  <c r="E174"/>
  <c r="D174"/>
  <c r="F174" s="1"/>
  <c r="I173"/>
  <c r="F173"/>
  <c r="H172"/>
  <c r="H193" s="1"/>
  <c r="G172"/>
  <c r="I172" s="1"/>
  <c r="E172"/>
  <c r="E193" s="1"/>
  <c r="D172"/>
  <c r="F172" s="1"/>
  <c r="G171"/>
  <c r="G193" s="1"/>
  <c r="I193" s="1"/>
  <c r="D171"/>
  <c r="F171" s="1"/>
  <c r="I170"/>
  <c r="F170"/>
  <c r="I167"/>
  <c r="F167"/>
  <c r="I166"/>
  <c r="F166"/>
  <c r="H165"/>
  <c r="G165"/>
  <c r="I165" s="1"/>
  <c r="F165"/>
  <c r="H164"/>
  <c r="I164" s="1"/>
  <c r="E164"/>
  <c r="D164"/>
  <c r="F164" s="1"/>
  <c r="I163"/>
  <c r="G163"/>
  <c r="F163"/>
  <c r="D163"/>
  <c r="I162"/>
  <c r="G162"/>
  <c r="F162"/>
  <c r="D162"/>
  <c r="H161"/>
  <c r="G161"/>
  <c r="I161" s="1"/>
  <c r="E161"/>
  <c r="D161"/>
  <c r="F161" s="1"/>
  <c r="I160"/>
  <c r="G160"/>
  <c r="F160"/>
  <c r="D160"/>
  <c r="I159"/>
  <c r="F159"/>
  <c r="H158"/>
  <c r="G158"/>
  <c r="I158" s="1"/>
  <c r="E158"/>
  <c r="D158"/>
  <c r="F158" s="1"/>
  <c r="I157"/>
  <c r="F157"/>
  <c r="I156"/>
  <c r="E156"/>
  <c r="F156" s="1"/>
  <c r="I155"/>
  <c r="F155"/>
  <c r="I154"/>
  <c r="F154"/>
  <c r="I153"/>
  <c r="F153"/>
  <c r="H152"/>
  <c r="G152"/>
  <c r="G168" s="1"/>
  <c r="F152"/>
  <c r="H151"/>
  <c r="I151" s="1"/>
  <c r="D151"/>
  <c r="F151" s="1"/>
  <c r="I150"/>
  <c r="E150"/>
  <c r="E168" s="1"/>
  <c r="D150"/>
  <c r="D168" s="1"/>
  <c r="F168" s="1"/>
  <c r="I149"/>
  <c r="F149"/>
  <c r="I148"/>
  <c r="F148"/>
  <c r="I145"/>
  <c r="F145"/>
  <c r="I144"/>
  <c r="F144"/>
  <c r="E144"/>
  <c r="I143"/>
  <c r="F143"/>
  <c r="I142"/>
  <c r="H142"/>
  <c r="F142"/>
  <c r="D142"/>
  <c r="I141"/>
  <c r="H141"/>
  <c r="E141"/>
  <c r="D141"/>
  <c r="F141" s="1"/>
  <c r="H140"/>
  <c r="G140"/>
  <c r="I140" s="1"/>
  <c r="E140"/>
  <c r="D140"/>
  <c r="F140" s="1"/>
  <c r="I139"/>
  <c r="F139"/>
  <c r="I138"/>
  <c r="F138"/>
  <c r="H137"/>
  <c r="I137" s="1"/>
  <c r="E137"/>
  <c r="F137" s="1"/>
  <c r="H136"/>
  <c r="I136" s="1"/>
  <c r="E136"/>
  <c r="F136" s="1"/>
  <c r="G135"/>
  <c r="I135" s="1"/>
  <c r="D135"/>
  <c r="F135" s="1"/>
  <c r="I134"/>
  <c r="F134"/>
  <c r="I133"/>
  <c r="F133"/>
  <c r="I132"/>
  <c r="F132"/>
  <c r="I131"/>
  <c r="F131"/>
  <c r="I130"/>
  <c r="F130"/>
  <c r="H129"/>
  <c r="G129"/>
  <c r="I129" s="1"/>
  <c r="E129"/>
  <c r="D129"/>
  <c r="F129" s="1"/>
  <c r="H128"/>
  <c r="I128" s="1"/>
  <c r="E128"/>
  <c r="E146" s="1"/>
  <c r="G127"/>
  <c r="G146" s="1"/>
  <c r="D127"/>
  <c r="F127" s="1"/>
  <c r="I126"/>
  <c r="F126"/>
  <c r="H124"/>
  <c r="G124"/>
  <c r="I124" s="1"/>
  <c r="E124"/>
  <c r="D124"/>
  <c r="F124" s="1"/>
  <c r="I123"/>
  <c r="F123"/>
  <c r="H121"/>
  <c r="G121"/>
  <c r="I121" s="1"/>
  <c r="E121"/>
  <c r="D121"/>
  <c r="F121" s="1"/>
  <c r="I120"/>
  <c r="F120"/>
  <c r="D118"/>
  <c r="I117"/>
  <c r="F117"/>
  <c r="H116"/>
  <c r="I116" s="1"/>
  <c r="E116"/>
  <c r="E118" s="1"/>
  <c r="H115"/>
  <c r="H118" s="1"/>
  <c r="G115"/>
  <c r="G118" s="1"/>
  <c r="I118" s="1"/>
  <c r="F115"/>
  <c r="I114"/>
  <c r="F114"/>
  <c r="H111"/>
  <c r="G111"/>
  <c r="I111" s="1"/>
  <c r="E111"/>
  <c r="D111"/>
  <c r="F111" s="1"/>
  <c r="I110"/>
  <c r="F110"/>
  <c r="I109"/>
  <c r="F109"/>
  <c r="I108"/>
  <c r="F108"/>
  <c r="I107"/>
  <c r="F107"/>
  <c r="I106"/>
  <c r="F106"/>
  <c r="H105"/>
  <c r="G105"/>
  <c r="I105" s="1"/>
  <c r="E105"/>
  <c r="D105"/>
  <c r="D112" s="1"/>
  <c r="H104"/>
  <c r="H112" s="1"/>
  <c r="G104"/>
  <c r="I104" s="1"/>
  <c r="F104"/>
  <c r="E104"/>
  <c r="H103"/>
  <c r="G103"/>
  <c r="G112" s="1"/>
  <c r="E103"/>
  <c r="E112" s="1"/>
  <c r="D103"/>
  <c r="F103" s="1"/>
  <c r="I102"/>
  <c r="F102"/>
  <c r="H100"/>
  <c r="G100"/>
  <c r="I100" s="1"/>
  <c r="I99"/>
  <c r="F99"/>
  <c r="I98"/>
  <c r="F98"/>
  <c r="I97"/>
  <c r="F97"/>
  <c r="I96"/>
  <c r="F96"/>
  <c r="I95"/>
  <c r="F95"/>
  <c r="I94"/>
  <c r="E94"/>
  <c r="E100" s="1"/>
  <c r="D94"/>
  <c r="D100" s="1"/>
  <c r="F100" s="1"/>
  <c r="I93"/>
  <c r="F93"/>
  <c r="I92"/>
  <c r="F92"/>
  <c r="I91"/>
  <c r="F91"/>
  <c r="I90"/>
  <c r="F90"/>
  <c r="I89"/>
  <c r="F89"/>
  <c r="I88"/>
  <c r="F88"/>
  <c r="I87"/>
  <c r="F87"/>
  <c r="I86"/>
  <c r="F86"/>
  <c r="I83"/>
  <c r="F83"/>
  <c r="I82"/>
  <c r="F82"/>
  <c r="H81"/>
  <c r="G81"/>
  <c r="I81" s="1"/>
  <c r="F81"/>
  <c r="I80"/>
  <c r="F80"/>
  <c r="I79"/>
  <c r="H79"/>
  <c r="F79"/>
  <c r="E79"/>
  <c r="I78"/>
  <c r="F78"/>
  <c r="I77"/>
  <c r="F77"/>
  <c r="I76"/>
  <c r="F76"/>
  <c r="I75"/>
  <c r="F75"/>
  <c r="H74"/>
  <c r="H84" s="1"/>
  <c r="G74"/>
  <c r="G84" s="1"/>
  <c r="E74"/>
  <c r="E84" s="1"/>
  <c r="D74"/>
  <c r="D84" s="1"/>
  <c r="G72"/>
  <c r="E72"/>
  <c r="D72"/>
  <c r="F72" s="1"/>
  <c r="I71"/>
  <c r="H71"/>
  <c r="H72" s="1"/>
  <c r="F71"/>
  <c r="E71"/>
  <c r="E42"/>
  <c r="D41"/>
  <c r="F43" s="1"/>
  <c r="E35"/>
  <c r="F33"/>
  <c r="F36" s="1"/>
  <c r="E30"/>
  <c r="E44" s="1"/>
  <c r="D29"/>
  <c r="D44" s="1"/>
  <c r="F28"/>
  <c r="F196" i="12" l="1"/>
  <c r="I196"/>
  <c r="I149"/>
  <c r="F289"/>
  <c r="D38"/>
  <c r="F73"/>
  <c r="F290" s="1"/>
  <c r="I175"/>
  <c r="F262"/>
  <c r="I262"/>
  <c r="G290"/>
  <c r="I290" s="1"/>
  <c r="I85"/>
  <c r="I98"/>
  <c r="I132"/>
  <c r="F153"/>
  <c r="I156"/>
  <c r="F187"/>
  <c r="F254"/>
  <c r="F264"/>
  <c r="I74" i="11"/>
  <c r="I197"/>
  <c r="F253"/>
  <c r="D316"/>
  <c r="H316"/>
  <c r="I172"/>
  <c r="I289"/>
  <c r="G316"/>
  <c r="I316" s="1"/>
  <c r="D38"/>
  <c r="I110"/>
  <c r="I154"/>
  <c r="I188"/>
  <c r="E197"/>
  <c r="E316" s="1"/>
  <c r="F208"/>
  <c r="I265"/>
  <c r="I315"/>
  <c r="I176"/>
  <c r="I255"/>
  <c r="F265"/>
  <c r="F315"/>
  <c r="F310" i="10"/>
  <c r="F74"/>
  <c r="F197"/>
  <c r="H311"/>
  <c r="E311"/>
  <c r="F89"/>
  <c r="F105"/>
  <c r="F122"/>
  <c r="I197"/>
  <c r="I252"/>
  <c r="D38"/>
  <c r="F73"/>
  <c r="F99"/>
  <c r="F133"/>
  <c r="D172"/>
  <c r="F172" s="1"/>
  <c r="F177"/>
  <c r="G284"/>
  <c r="I284" s="1"/>
  <c r="F286"/>
  <c r="I298"/>
  <c r="F79"/>
  <c r="F108"/>
  <c r="F119"/>
  <c r="F199"/>
  <c r="I208"/>
  <c r="F257"/>
  <c r="I310"/>
  <c r="I74" i="9"/>
  <c r="F74"/>
  <c r="F77"/>
  <c r="I77"/>
  <c r="I89"/>
  <c r="F116"/>
  <c r="I116"/>
  <c r="F150"/>
  <c r="F172"/>
  <c r="I259"/>
  <c r="E303"/>
  <c r="F302"/>
  <c r="I302"/>
  <c r="I105"/>
  <c r="I197"/>
  <c r="F31"/>
  <c r="F37" s="1"/>
  <c r="F44" s="1"/>
  <c r="E37"/>
  <c r="D44"/>
  <c r="F73"/>
  <c r="F76"/>
  <c r="I79"/>
  <c r="I108"/>
  <c r="I119"/>
  <c r="D122"/>
  <c r="F122" s="1"/>
  <c r="F132"/>
  <c r="H150"/>
  <c r="H303" s="1"/>
  <c r="F154"/>
  <c r="G172"/>
  <c r="I172" s="1"/>
  <c r="F176"/>
  <c r="I176"/>
  <c r="I177"/>
  <c r="F179"/>
  <c r="I199"/>
  <c r="I257"/>
  <c r="F261"/>
  <c r="I261"/>
  <c r="F283"/>
  <c r="I72"/>
  <c r="F99"/>
  <c r="I99"/>
  <c r="F108"/>
  <c r="F199"/>
  <c r="F257"/>
  <c r="E45" i="8"/>
  <c r="F281"/>
  <c r="G282"/>
  <c r="I281"/>
  <c r="I197"/>
  <c r="F74"/>
  <c r="I74"/>
  <c r="F77"/>
  <c r="I77"/>
  <c r="F89"/>
  <c r="F105"/>
  <c r="I105"/>
  <c r="F122"/>
  <c r="I122"/>
  <c r="F197"/>
  <c r="E282"/>
  <c r="H282"/>
  <c r="F72"/>
  <c r="F76"/>
  <c r="F79"/>
  <c r="I99"/>
  <c r="I108"/>
  <c r="D116"/>
  <c r="F116" s="1"/>
  <c r="F119"/>
  <c r="F131"/>
  <c r="I154"/>
  <c r="F176"/>
  <c r="I176"/>
  <c r="F199"/>
  <c r="F257"/>
  <c r="F261"/>
  <c r="I73"/>
  <c r="I76"/>
  <c r="F99"/>
  <c r="I119"/>
  <c r="F153"/>
  <c r="I199"/>
  <c r="I257"/>
  <c r="I282" i="7"/>
  <c r="I193"/>
  <c r="F85"/>
  <c r="F101"/>
  <c r="I112"/>
  <c r="F118"/>
  <c r="I118"/>
  <c r="F248"/>
  <c r="F255"/>
  <c r="I255"/>
  <c r="H283"/>
  <c r="D37"/>
  <c r="E44"/>
  <c r="I72"/>
  <c r="E73"/>
  <c r="F73" s="1"/>
  <c r="I75"/>
  <c r="F80"/>
  <c r="I95"/>
  <c r="I104"/>
  <c r="D112"/>
  <c r="F112" s="1"/>
  <c r="F115"/>
  <c r="I127"/>
  <c r="D146"/>
  <c r="F146" s="1"/>
  <c r="F152"/>
  <c r="G168"/>
  <c r="I168" s="1"/>
  <c r="F195"/>
  <c r="G248"/>
  <c r="I248" s="1"/>
  <c r="I253"/>
  <c r="I257"/>
  <c r="D282"/>
  <c r="F99"/>
  <c r="I115"/>
  <c r="F253"/>
  <c r="F36" i="5"/>
  <c r="I285" i="6"/>
  <c r="F84"/>
  <c r="I84"/>
  <c r="I247"/>
  <c r="I254"/>
  <c r="D37"/>
  <c r="H72"/>
  <c r="H286" s="1"/>
  <c r="F81"/>
  <c r="F94"/>
  <c r="F103"/>
  <c r="F114"/>
  <c r="E145"/>
  <c r="F145" s="1"/>
  <c r="D167"/>
  <c r="F167" s="1"/>
  <c r="G192"/>
  <c r="I192" s="1"/>
  <c r="I194"/>
  <c r="D247"/>
  <c r="F247" s="1"/>
  <c r="F252"/>
  <c r="I256"/>
  <c r="D285"/>
  <c r="F31"/>
  <c r="F37" s="1"/>
  <c r="F44" s="1"/>
  <c r="I98"/>
  <c r="I103"/>
  <c r="I114"/>
  <c r="I127"/>
  <c r="I151"/>
  <c r="F72" i="5"/>
  <c r="E272"/>
  <c r="H272"/>
  <c r="I322"/>
  <c r="D272"/>
  <c r="F272" s="1"/>
  <c r="F271"/>
  <c r="G272"/>
  <c r="I272" s="1"/>
  <c r="I271"/>
  <c r="I72"/>
  <c r="I84"/>
  <c r="I100"/>
  <c r="F100"/>
  <c r="F117"/>
  <c r="I117"/>
  <c r="F145"/>
  <c r="F192"/>
  <c r="I192"/>
  <c r="F253"/>
  <c r="I253"/>
  <c r="D37"/>
  <c r="E44"/>
  <c r="F74"/>
  <c r="F99"/>
  <c r="F103"/>
  <c r="F114"/>
  <c r="I126"/>
  <c r="F127"/>
  <c r="I127"/>
  <c r="F128"/>
  <c r="F149"/>
  <c r="I150"/>
  <c r="F194"/>
  <c r="F249"/>
  <c r="F252"/>
  <c r="F255"/>
  <c r="F31"/>
  <c r="F37" s="1"/>
  <c r="F44" s="1"/>
  <c r="I81"/>
  <c r="I94"/>
  <c r="I103"/>
  <c r="I114"/>
  <c r="I194"/>
  <c r="I252"/>
  <c r="I255"/>
  <c r="F31" i="4"/>
  <c r="F43"/>
  <c r="F37"/>
  <c r="F72"/>
  <c r="F84"/>
  <c r="F145"/>
  <c r="E266"/>
  <c r="H266"/>
  <c r="I265"/>
  <c r="I72"/>
  <c r="I145"/>
  <c r="F192"/>
  <c r="F245"/>
  <c r="I245"/>
  <c r="I248"/>
  <c r="F251"/>
  <c r="I251"/>
  <c r="E37"/>
  <c r="D44"/>
  <c r="I71"/>
  <c r="I74"/>
  <c r="I99"/>
  <c r="I103"/>
  <c r="I114"/>
  <c r="F149"/>
  <c r="G167"/>
  <c r="I167" s="1"/>
  <c r="F170"/>
  <c r="I170"/>
  <c r="I194"/>
  <c r="I247"/>
  <c r="I250"/>
  <c r="I253"/>
  <c r="D265"/>
  <c r="F83"/>
  <c r="F103"/>
  <c r="F114"/>
  <c r="F194"/>
  <c r="F250"/>
  <c r="D263" i="3"/>
  <c r="F262"/>
  <c r="G263"/>
  <c r="I263" s="1"/>
  <c r="I262"/>
  <c r="I71"/>
  <c r="I83"/>
  <c r="F166"/>
  <c r="I166"/>
  <c r="F83"/>
  <c r="F242"/>
  <c r="E263"/>
  <c r="H263"/>
  <c r="F31"/>
  <c r="F37" s="1"/>
  <c r="F44" s="1"/>
  <c r="D44"/>
  <c r="I82"/>
  <c r="F93"/>
  <c r="F102"/>
  <c r="F113"/>
  <c r="I138"/>
  <c r="I148"/>
  <c r="I170"/>
  <c r="I193"/>
  <c r="F236"/>
  <c r="F247"/>
  <c r="F250"/>
  <c r="F73"/>
  <c r="I102"/>
  <c r="I113"/>
  <c r="F148"/>
  <c r="I247"/>
  <c r="I250"/>
  <c r="G117" i="2"/>
  <c r="I117" s="1"/>
  <c r="I114"/>
  <c r="E71"/>
  <c r="F71" s="1"/>
  <c r="F70"/>
  <c r="D267"/>
  <c r="F266"/>
  <c r="G267"/>
  <c r="I266"/>
  <c r="E44"/>
  <c r="H71"/>
  <c r="I83"/>
  <c r="I93"/>
  <c r="I103"/>
  <c r="F192"/>
  <c r="I71"/>
  <c r="F73"/>
  <c r="I80"/>
  <c r="F99"/>
  <c r="F111"/>
  <c r="F104"/>
  <c r="F248"/>
  <c r="I248"/>
  <c r="D145"/>
  <c r="F145" s="1"/>
  <c r="H145"/>
  <c r="I145" s="1"/>
  <c r="F151"/>
  <c r="E167"/>
  <c r="F167" s="1"/>
  <c r="G167"/>
  <c r="I167" s="1"/>
  <c r="F180"/>
  <c r="F194"/>
  <c r="E242"/>
  <c r="F242" s="1"/>
  <c r="G242"/>
  <c r="I242" s="1"/>
  <c r="F247"/>
  <c r="F250"/>
  <c r="I73"/>
  <c r="F102"/>
  <c r="F114"/>
  <c r="I247"/>
  <c r="I250"/>
  <c r="F84" i="1"/>
  <c r="I84"/>
  <c r="I112"/>
  <c r="F112"/>
  <c r="I246"/>
  <c r="E274"/>
  <c r="F273"/>
  <c r="G274"/>
  <c r="I273"/>
  <c r="I72"/>
  <c r="F118"/>
  <c r="F31"/>
  <c r="F37" s="1"/>
  <c r="F44" s="1"/>
  <c r="D37"/>
  <c r="I74"/>
  <c r="I103"/>
  <c r="F105"/>
  <c r="D146"/>
  <c r="F146" s="1"/>
  <c r="H146"/>
  <c r="I146" s="1"/>
  <c r="F150"/>
  <c r="H168"/>
  <c r="H274" s="1"/>
  <c r="D193"/>
  <c r="F193" s="1"/>
  <c r="F195"/>
  <c r="I248"/>
  <c r="I251"/>
  <c r="E37"/>
  <c r="F74"/>
  <c r="F94"/>
  <c r="I115"/>
  <c r="F116"/>
  <c r="I127"/>
  <c r="F128"/>
  <c r="I152"/>
  <c r="I171"/>
  <c r="I195"/>
  <c r="F248"/>
  <c r="F251"/>
  <c r="F316" i="11" l="1"/>
  <c r="F197"/>
  <c r="D311" i="10"/>
  <c r="F311" s="1"/>
  <c r="G311"/>
  <c r="I311" s="1"/>
  <c r="G303" i="9"/>
  <c r="I303" s="1"/>
  <c r="D303"/>
  <c r="F303" s="1"/>
  <c r="I150"/>
  <c r="I282" i="8"/>
  <c r="D282"/>
  <c r="F282" s="1"/>
  <c r="D283" i="7"/>
  <c r="F282"/>
  <c r="E283"/>
  <c r="G283"/>
  <c r="I283" s="1"/>
  <c r="E286" i="6"/>
  <c r="I72"/>
  <c r="G286"/>
  <c r="I286" s="1"/>
  <c r="D286"/>
  <c r="F286" s="1"/>
  <c r="F285"/>
  <c r="F44" i="4"/>
  <c r="G266"/>
  <c r="I266" s="1"/>
  <c r="D266"/>
  <c r="F266" s="1"/>
  <c r="F265"/>
  <c r="F263" i="3"/>
  <c r="E267" i="2"/>
  <c r="F267"/>
  <c r="H267"/>
  <c r="I267" s="1"/>
  <c r="I168" i="1"/>
  <c r="I274"/>
  <c r="D274"/>
  <c r="F274" s="1"/>
  <c r="F283" i="7" l="1"/>
</calcChain>
</file>

<file path=xl/comments1.xml><?xml version="1.0" encoding="utf-8"?>
<comments xmlns="http://schemas.openxmlformats.org/spreadsheetml/2006/main">
  <authors>
    <author>useer</author>
  </authors>
  <commentList>
    <comment ref="C41" authorId="0">
      <text>
        <r>
          <rPr>
            <b/>
            <sz val="8"/>
            <color indexed="81"/>
            <rFont val="Tahoma"/>
            <family val="2"/>
          </rPr>
          <t>useer: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useer</author>
  </authors>
  <commentList>
    <comment ref="C42" authorId="0">
      <text>
        <r>
          <rPr>
            <b/>
            <sz val="8"/>
            <color indexed="81"/>
            <rFont val="Tahoma"/>
            <family val="2"/>
          </rPr>
          <t>useer: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useer</author>
  </authors>
  <commentList>
    <comment ref="C41" authorId="0">
      <text>
        <r>
          <rPr>
            <b/>
            <sz val="8"/>
            <color indexed="81"/>
            <rFont val="Tahoma"/>
            <family val="2"/>
          </rPr>
          <t>useer: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useer</author>
  </authors>
  <commentList>
    <comment ref="C41" authorId="0">
      <text>
        <r>
          <rPr>
            <b/>
            <sz val="8"/>
            <color indexed="81"/>
            <rFont val="Tahoma"/>
            <family val="2"/>
          </rPr>
          <t>useer: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useer</author>
  </authors>
  <commentList>
    <comment ref="C41" authorId="0">
      <text>
        <r>
          <rPr>
            <b/>
            <sz val="8"/>
            <color indexed="81"/>
            <rFont val="Tahoma"/>
            <family val="2"/>
          </rPr>
          <t>useer: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useer</author>
  </authors>
  <commentList>
    <comment ref="C41" authorId="0">
      <text>
        <r>
          <rPr>
            <b/>
            <sz val="8"/>
            <color indexed="81"/>
            <rFont val="Tahoma"/>
            <family val="2"/>
          </rPr>
          <t>useer: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useer</author>
  </authors>
  <commentList>
    <comment ref="C41" authorId="0">
      <text>
        <r>
          <rPr>
            <b/>
            <sz val="8"/>
            <color indexed="81"/>
            <rFont val="Tahoma"/>
            <family val="2"/>
          </rPr>
          <t>useer: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useer</author>
  </authors>
  <commentList>
    <comment ref="C41" authorId="0">
      <text>
        <r>
          <rPr>
            <b/>
            <sz val="8"/>
            <color indexed="81"/>
            <rFont val="Tahoma"/>
            <family val="2"/>
          </rPr>
          <t>useer: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useer</author>
  </authors>
  <commentList>
    <comment ref="C42" authorId="0">
      <text>
        <r>
          <rPr>
            <b/>
            <sz val="8"/>
            <color indexed="81"/>
            <rFont val="Tahoma"/>
            <family val="2"/>
          </rPr>
          <t>useer: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useer</author>
  </authors>
  <commentList>
    <comment ref="C41" authorId="0">
      <text>
        <r>
          <rPr>
            <b/>
            <sz val="8"/>
            <color indexed="81"/>
            <rFont val="Tahoma"/>
            <family val="2"/>
          </rPr>
          <t>useer: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<sst xmlns="http://schemas.openxmlformats.org/spreadsheetml/2006/main" count="4114" uniqueCount="726">
  <si>
    <t xml:space="preserve">BADAN AMIL ZAKAT NASIONAL </t>
  </si>
  <si>
    <t xml:space="preserve">                ( BAZNAS )</t>
  </si>
  <si>
    <t xml:space="preserve">                KABUPATEN SRAGEN</t>
  </si>
  <si>
    <t>Sekretariat : Jl. Raya Timur KM.4 Komplek Masjid Bazis Ukhuwah Islamiyah Pilangsari Ngrampal</t>
  </si>
  <si>
    <t xml:space="preserve"> Telp /Fax: (0271) 8825250 e-mail:bazdasragen@yahoo.com website:www.bazdasragen.org SRAGEN-57252</t>
  </si>
  <si>
    <t xml:space="preserve">     Sragen,  31 Januari 2016</t>
  </si>
  <si>
    <t>Nomor</t>
  </si>
  <si>
    <t>:450.4  / 01 /BAZNAS-KAB/ I/ 2016</t>
  </si>
  <si>
    <t>Lamp</t>
  </si>
  <si>
    <t>: 1 (satu) bendel</t>
  </si>
  <si>
    <t>Hal</t>
  </si>
  <si>
    <t>: Laporan Rutin</t>
  </si>
  <si>
    <t>Kepada Yth :</t>
  </si>
  <si>
    <t>1. Kepala Dinas / Badan / Inspektorat / Bagian / Kantor dan Unit Kerja</t>
  </si>
  <si>
    <t xml:space="preserve">2. Kepala Instansi Vertikal </t>
  </si>
  <si>
    <t>3. Pimpinan BUMN / BUMD</t>
  </si>
  <si>
    <t>4. Camat</t>
  </si>
  <si>
    <t>5. Kepala Sekolah</t>
  </si>
  <si>
    <t>Di Tempat</t>
  </si>
  <si>
    <t>Assalamu'alaikum Wr. Wb.</t>
  </si>
  <si>
    <t xml:space="preserve">Bersama ini kami laporkan Pemasukan dan Pengeluaran Dana Zakat, Infaq / Shadaqah </t>
  </si>
  <si>
    <t>BAZNAS Kabupaten Sragen, per 31 Januari 2016 adalah sebagai berikut :</t>
  </si>
  <si>
    <t>Dalam Rupiah</t>
  </si>
  <si>
    <t>NO</t>
  </si>
  <si>
    <t>URAIAN</t>
  </si>
  <si>
    <t>PEMASUKAN</t>
  </si>
  <si>
    <t>PENGELUARAN</t>
  </si>
  <si>
    <t>SALDO</t>
  </si>
  <si>
    <t>ZAKAT</t>
  </si>
  <si>
    <t>BANK</t>
  </si>
  <si>
    <t>Saldo Akhir Bulan Desember 2015</t>
  </si>
  <si>
    <t>Pemasukan Januari 2016</t>
  </si>
  <si>
    <t>Pengeluaran Januari 2016</t>
  </si>
  <si>
    <t>Saldo Akhir</t>
  </si>
  <si>
    <t>WADI'AH</t>
  </si>
  <si>
    <t>Saldo Akhir Zakat</t>
  </si>
  <si>
    <t>INFAQ</t>
  </si>
  <si>
    <t>Saldo Akhir Infaq</t>
  </si>
  <si>
    <t>Jumlah Saldo per 31 Januari  2016</t>
  </si>
  <si>
    <r>
      <t xml:space="preserve"> Keterangan: Setoran Zakat dan Infaq dapat melalui Bank Jateng Rek. 1-0-010-00553-1 </t>
    </r>
    <r>
      <rPr>
        <i/>
        <sz val="12"/>
        <color indexed="8"/>
        <rFont val="Times New Roman"/>
        <family val="1"/>
      </rPr>
      <t>(zakat)</t>
    </r>
    <r>
      <rPr>
        <sz val="12"/>
        <color indexed="8"/>
        <rFont val="Times New Roman"/>
        <family val="1"/>
      </rPr>
      <t xml:space="preserve">, 1-00-00330-4 </t>
    </r>
    <r>
      <rPr>
        <i/>
        <sz val="12"/>
        <color indexed="8"/>
        <rFont val="Times New Roman"/>
        <family val="1"/>
      </rPr>
      <t>(infaq</t>
    </r>
    <r>
      <rPr>
        <sz val="12"/>
        <color indexed="8"/>
        <rFont val="Times New Roman"/>
        <family val="1"/>
      </rPr>
      <t>)</t>
    </r>
  </si>
  <si>
    <t>Demikian untuk menjadikan periksa.</t>
  </si>
  <si>
    <t xml:space="preserve">Wassalamu'alaikum Wr. Wb. </t>
  </si>
  <si>
    <t>Ketua</t>
  </si>
  <si>
    <t>Sekretaris</t>
  </si>
  <si>
    <t>ttd</t>
  </si>
  <si>
    <t>Drs. H. Mahmudi, M. Ag</t>
  </si>
  <si>
    <t>Drs. H. Mustaqiem, M.Ag</t>
  </si>
  <si>
    <t xml:space="preserve">Tembusan di sampaikan Kepada Yth. : </t>
  </si>
  <si>
    <t>1. Bupati Kab. Sragen</t>
  </si>
  <si>
    <t>2. Ketua DPRD Kab. Sragen</t>
  </si>
  <si>
    <t>3. Ka.kankemenag Kab. Sragen</t>
  </si>
  <si>
    <t>4. Arsip</t>
  </si>
  <si>
    <t>LAMPIRAN</t>
  </si>
  <si>
    <t>REKAPITULASI ZAKAT, INFAK DAN SHODAQOH</t>
  </si>
  <si>
    <t>BADAN AMIL ZAKAT NASIONAL (BAZNAS) KABUPATEN SRAGEN</t>
  </si>
  <si>
    <t>PER 31 DESEMBER 2015 &amp; 31 JANUARI 2016</t>
  </si>
  <si>
    <t>UPZ / URAIAN</t>
  </si>
  <si>
    <t xml:space="preserve">PEMASUKAN
</t>
  </si>
  <si>
    <t>JUMLAH</t>
  </si>
  <si>
    <t>BULAN DESEMBER</t>
  </si>
  <si>
    <t>BULAN JANUARI</t>
  </si>
  <si>
    <t>INFAK</t>
  </si>
  <si>
    <t>INSPEKTORAT</t>
  </si>
  <si>
    <t>Inspektorat</t>
  </si>
  <si>
    <t>BADAN</t>
  </si>
  <si>
    <t>BAPEDA</t>
  </si>
  <si>
    <t>Badan Kepegawaian Daerah</t>
  </si>
  <si>
    <t>Badan Kesbangpolinmas</t>
  </si>
  <si>
    <t>Badan Perijinan Terpadu dan PM</t>
  </si>
  <si>
    <t>Badan Diklat dan Litbang</t>
  </si>
  <si>
    <t>KBPMD</t>
  </si>
  <si>
    <t>Badan Lingkungan Hidup</t>
  </si>
  <si>
    <t>Badan Pelaksana Penyuluhan</t>
  </si>
  <si>
    <t>BPUMD</t>
  </si>
  <si>
    <t>BPBD</t>
  </si>
  <si>
    <t>DINAS</t>
  </si>
  <si>
    <t>Dinas Pendidikan</t>
  </si>
  <si>
    <t>Dinas Kesehatan</t>
  </si>
  <si>
    <t>Dinas Pekerjaan Umum</t>
  </si>
  <si>
    <t>Dinas Perinkop dan UMKM</t>
  </si>
  <si>
    <t>Dinas Sosial</t>
  </si>
  <si>
    <t>Dinas Pertanian</t>
  </si>
  <si>
    <t>Dinas Peternakan &amp; Perikanan</t>
  </si>
  <si>
    <t>Dinas Hubkominfo</t>
  </si>
  <si>
    <t>Dinas Kependudukan dan Capil</t>
  </si>
  <si>
    <t>DP2KAD</t>
  </si>
  <si>
    <t>DP2D</t>
  </si>
  <si>
    <t>Dinas Parbud dan POR</t>
  </si>
  <si>
    <t>Dinas Nakertrans</t>
  </si>
  <si>
    <t>Dinas Hutbun</t>
  </si>
  <si>
    <t>BAGIAN</t>
  </si>
  <si>
    <t>Bagian Pemerintahan dan Pertanahan</t>
  </si>
  <si>
    <t>Bagian Hukum</t>
  </si>
  <si>
    <t>Bagian Pemberdayaan Perempuan</t>
  </si>
  <si>
    <t>Bagian Pembangunan</t>
  </si>
  <si>
    <t>Bagian Sumber Daya Alam</t>
  </si>
  <si>
    <t>Bagian Kesejahteraan Rakyat</t>
  </si>
  <si>
    <t>Bagian Umum</t>
  </si>
  <si>
    <t>Bagian Organisasi dan Kepegawaian</t>
  </si>
  <si>
    <t>Bagian Humas dan Protokol</t>
  </si>
  <si>
    <t>Unit Layanan Pengadaan</t>
  </si>
  <si>
    <t xml:space="preserve">JUMLAH </t>
  </si>
  <si>
    <t>KANTOR</t>
  </si>
  <si>
    <t>Kantor Ketahan Pangan</t>
  </si>
  <si>
    <t>Kantor Perpustakaan Daerah</t>
  </si>
  <si>
    <t>Kantor PDE</t>
  </si>
  <si>
    <t>Kantor Arsip dan Dokumentasi</t>
  </si>
  <si>
    <t>SATPOL PP</t>
  </si>
  <si>
    <t>Satuan Polisi Pamong Praja</t>
  </si>
  <si>
    <t xml:space="preserve">SEKRETARIS DEWAN (SETWAN) </t>
  </si>
  <si>
    <t>Sekretaris Dewan</t>
  </si>
  <si>
    <t>KECAMATAN</t>
  </si>
  <si>
    <t xml:space="preserve">Kec. Sragen </t>
  </si>
  <si>
    <t>Kec. Karangmalang</t>
  </si>
  <si>
    <t>Kec. Kedawung</t>
  </si>
  <si>
    <t>Kec. Sambirejo</t>
  </si>
  <si>
    <t>Kec. Gondang</t>
  </si>
  <si>
    <t>Kec. Sambungmacan</t>
  </si>
  <si>
    <t>Kec. Ngrampal</t>
  </si>
  <si>
    <t>Kec. Tangen</t>
  </si>
  <si>
    <t>Kec. Jenar</t>
  </si>
  <si>
    <t>Kec. Gesi</t>
  </si>
  <si>
    <t>Kec. Sukodono</t>
  </si>
  <si>
    <t>Kec. Mondokan</t>
  </si>
  <si>
    <t>Kec. Sumberlawang</t>
  </si>
  <si>
    <t>Kec. Miri</t>
  </si>
  <si>
    <t>Kec. Gemolong</t>
  </si>
  <si>
    <t>Kec. Kalijambe</t>
  </si>
  <si>
    <t>Kec. Plupuh</t>
  </si>
  <si>
    <t>Kec. Masaran</t>
  </si>
  <si>
    <t>Kec. Sidoharjo</t>
  </si>
  <si>
    <t>Kec. Tanon</t>
  </si>
  <si>
    <t>UPT DINAS PENDIDIKAN</t>
  </si>
  <si>
    <t xml:space="preserve">UPTD Pendidikan Kec. Sragen </t>
  </si>
  <si>
    <t>UPTD Pendidikan Kec. Karangmalang</t>
  </si>
  <si>
    <t>UPTD Pendidikan Kec. Kedawung</t>
  </si>
  <si>
    <t>UPTD Pendidikan Kec. Sambirejo</t>
  </si>
  <si>
    <t>UPTD Pendidikan Kec. Gondang</t>
  </si>
  <si>
    <t>UPTD Pendidikan Kec. Sambungmacan</t>
  </si>
  <si>
    <t>UPTD Pendidikan Kec. Ngrampal</t>
  </si>
  <si>
    <t>UPTD Pendidikan Kec. Tangen</t>
  </si>
  <si>
    <t>UPTD Pendidikan Kec. Jenar</t>
  </si>
  <si>
    <t>UPTD Pendidikan Kec. Gesi</t>
  </si>
  <si>
    <t>UPTD Pendidikan Kec. Sukodono</t>
  </si>
  <si>
    <t>UPTD Pendidikan Kec. Mondokan</t>
  </si>
  <si>
    <t>UPTD Pendidikan Kec. Sumberlawang</t>
  </si>
  <si>
    <t>UPTD Pendidikan Kec. Miri</t>
  </si>
  <si>
    <t>UPTD Pendidikan Kec. Gemolong</t>
  </si>
  <si>
    <t>UPTD Pendidikan Kec. Kalijambe</t>
  </si>
  <si>
    <t>UPTD Pendidikan Kec. Plupuh</t>
  </si>
  <si>
    <t>UPTD Pendidikan Kec. Masaran</t>
  </si>
  <si>
    <t>UPTD Pendidikan Kec. Sidoharjo</t>
  </si>
  <si>
    <t>UPTD Pendidikan Kec. Tanon</t>
  </si>
  <si>
    <t>VERTIKAL</t>
  </si>
  <si>
    <t>Badan Pertanahan Nasional</t>
  </si>
  <si>
    <t>Bina Marga</t>
  </si>
  <si>
    <t>Bank Jateng</t>
  </si>
  <si>
    <t>Bank Jateng Syariah</t>
  </si>
  <si>
    <t>Badan Pusat Statistik</t>
  </si>
  <si>
    <t>Kementerian Agama Sragen</t>
  </si>
  <si>
    <t>Kantor Pos Sragen</t>
  </si>
  <si>
    <t>Kejaksaan Negeri</t>
  </si>
  <si>
    <t>LP Sragen</t>
  </si>
  <si>
    <t>PD Percetakan Sragen</t>
  </si>
  <si>
    <t>PDAM Sragen</t>
  </si>
  <si>
    <t>Pengadilan Negeri</t>
  </si>
  <si>
    <t>PG Mojo Sragen</t>
  </si>
  <si>
    <t xml:space="preserve">PTG Raharjo Sragen/Baresos Raharjo </t>
  </si>
  <si>
    <t>RSUD DR Soeratno</t>
  </si>
  <si>
    <t>RSUD Sragen</t>
  </si>
  <si>
    <t>RUBASAN</t>
  </si>
  <si>
    <t>Samsat Sragen</t>
  </si>
  <si>
    <t xml:space="preserve">Polres Sragen </t>
  </si>
  <si>
    <t>BNI Syariah KCPS Sragen</t>
  </si>
  <si>
    <t>BPR Syariah Sragen</t>
  </si>
  <si>
    <t>KODIM Sragen</t>
  </si>
  <si>
    <t>Perusda</t>
  </si>
  <si>
    <t>PENDIDIKAN</t>
  </si>
  <si>
    <t>SMA N 1 Gemolong</t>
  </si>
  <si>
    <t>SMA N 1 Sambungmacan</t>
  </si>
  <si>
    <t>SMA N 1 Sragen</t>
  </si>
  <si>
    <t>SMA N 1 Sukodono</t>
  </si>
  <si>
    <t>SMA N 1 Sumberlawang</t>
  </si>
  <si>
    <t>SMA N 1 Tangen</t>
  </si>
  <si>
    <t>SMA N 2 Sragen</t>
  </si>
  <si>
    <t>SMK N 1 Kedawung</t>
  </si>
  <si>
    <t>SMK N 1 Sambirejo</t>
  </si>
  <si>
    <t>SMK N 1 Sragen</t>
  </si>
  <si>
    <t>SMK N 2 Sragen</t>
  </si>
  <si>
    <t>SMK N 1 Gondang</t>
  </si>
  <si>
    <t>SMP N 1 Gemolong</t>
  </si>
  <si>
    <t>SMP N 1 Gesi</t>
  </si>
  <si>
    <t>SMP N 1 Gondang</t>
  </si>
  <si>
    <t>SMP N 1 Karangmalang</t>
  </si>
  <si>
    <t>SMP N 1 Kedawung</t>
  </si>
  <si>
    <t>SMP N 1 Masaran</t>
  </si>
  <si>
    <t>SMP N 1 Miri</t>
  </si>
  <si>
    <t>SMP N 1 Mondokan</t>
  </si>
  <si>
    <t>SMP N 1 Sambirejo</t>
  </si>
  <si>
    <t>SMP N 1 Sambungmacan</t>
  </si>
  <si>
    <t>SMP N 1 Sidoharjo</t>
  </si>
  <si>
    <t>SMP N 1 Sragen</t>
  </si>
  <si>
    <t>SMP N 1 Sukodono</t>
  </si>
  <si>
    <t>SMP N 1 Sumberlawang</t>
  </si>
  <si>
    <t>SMP N 1 Tangen</t>
  </si>
  <si>
    <t>SMP N 1 Tanon</t>
  </si>
  <si>
    <t>SMP N 1 Kalijambe</t>
  </si>
  <si>
    <t>SMP N 2 Gemolong</t>
  </si>
  <si>
    <t>SMP N 2 Gondang</t>
  </si>
  <si>
    <t>SMP N 2 Karangmalang</t>
  </si>
  <si>
    <t>SMP N 2 Kedawung</t>
  </si>
  <si>
    <t>SMP N 2 Masaran</t>
  </si>
  <si>
    <t>SMP N 2 Ngrampal</t>
  </si>
  <si>
    <t>SMP N 2 Plupuh</t>
  </si>
  <si>
    <t>SMP N 2 Sambirejo</t>
  </si>
  <si>
    <t>SMP N 2 Sambungmacan</t>
  </si>
  <si>
    <t>SMP N 2 Sragen</t>
  </si>
  <si>
    <t>SMP N 2 Sidoharjo</t>
  </si>
  <si>
    <t>SMP N 2 Sumberlawang</t>
  </si>
  <si>
    <t>SMP N 2 Tangen</t>
  </si>
  <si>
    <t>SMP N 2 Tanon</t>
  </si>
  <si>
    <t>SMP N 3 Sragen</t>
  </si>
  <si>
    <t>MTS N Tanon</t>
  </si>
  <si>
    <t>SMP 1 Atap Sambirejo</t>
  </si>
  <si>
    <t>SMP N 5 Sragen</t>
  </si>
  <si>
    <t>SMP N 6 Sragen</t>
  </si>
  <si>
    <t>SEKPRI SETDA</t>
  </si>
  <si>
    <t>Sekpri Setda</t>
  </si>
  <si>
    <t>MASJID</t>
  </si>
  <si>
    <t>Jami' Sukodono</t>
  </si>
  <si>
    <t>LAIN-LAIN</t>
  </si>
  <si>
    <t>Kot. Infaq Idul Fitri/Idul Adha</t>
  </si>
  <si>
    <t>Setor Kembali Dana BAZ</t>
  </si>
  <si>
    <t>Hamba Allah</t>
  </si>
  <si>
    <t>Umar mansur</t>
  </si>
  <si>
    <t>Laksana Prasti</t>
  </si>
  <si>
    <t>Kiswo Sujoko</t>
  </si>
  <si>
    <t>Bantuan Operasional kemenag RI</t>
  </si>
  <si>
    <t>Agung Purwono</t>
  </si>
  <si>
    <t>Siman Yuwono</t>
  </si>
  <si>
    <t>Ariyanto</t>
  </si>
  <si>
    <t>Siti</t>
  </si>
  <si>
    <t>Agung Dwi Angkoro</t>
  </si>
  <si>
    <t>Sandi Sandria</t>
  </si>
  <si>
    <t>Wahyono</t>
  </si>
  <si>
    <t>Suwarni</t>
  </si>
  <si>
    <t>Suryanto</t>
  </si>
  <si>
    <t>H. Mahmudi</t>
  </si>
  <si>
    <t>Suyamto</t>
  </si>
  <si>
    <t>Budi Purwanto</t>
  </si>
  <si>
    <t>Mita</t>
  </si>
  <si>
    <t>PPSA IAIN Surakarta</t>
  </si>
  <si>
    <t>Pemindahbukuan antar rekening</t>
  </si>
  <si>
    <t xml:space="preserve">JUMLAH TOTAL </t>
  </si>
  <si>
    <t>REKAP PENGELUARAN  BADAN AMIL ZAKAT KAB. SRAGEN</t>
  </si>
  <si>
    <t>PER 31 JANUARI 2016</t>
  </si>
  <si>
    <t>A</t>
  </si>
  <si>
    <t>( Rp )</t>
  </si>
  <si>
    <t xml:space="preserve"> REKAP PENGELUARAN ZAKAT</t>
  </si>
  <si>
    <t>Setor kembali dana BAZNAS</t>
  </si>
  <si>
    <t>B</t>
  </si>
  <si>
    <t xml:space="preserve"> REKAP PENGELUARAN INFAQ</t>
  </si>
  <si>
    <t>Bantuan operasional BAZNAS dari Kemenag RI</t>
  </si>
  <si>
    <t>Gaji Karyawan</t>
  </si>
  <si>
    <t>Iuran BPJS bulan Januari 2016</t>
  </si>
  <si>
    <t xml:space="preserve"> </t>
  </si>
  <si>
    <t xml:space="preserve">                     Sragen, 31 Januari  2016</t>
  </si>
  <si>
    <t>Bendahara</t>
  </si>
  <si>
    <t xml:space="preserve">    Drs. H. Mahmudi, M.Ag</t>
  </si>
  <si>
    <t>H. Soemarsono, SE, MM</t>
  </si>
  <si>
    <t xml:space="preserve">     Sragen,  29 Februari 2016</t>
  </si>
  <si>
    <t>:450.4  / 02 /BAZNAS-KAB/ II/ 2016</t>
  </si>
  <si>
    <t>Bersama ini kami laporkan Pemasukan dan Pengeluaran Dana Zakat, Infaq / Shadaqah Badan</t>
  </si>
  <si>
    <t>Amil Zakat Nasional (BAZNAS) Kab. Sragen, per 29 Februari 2016 adalah sebagai berikut :</t>
  </si>
  <si>
    <t>Saldo Akhir Bulan Januari 2016</t>
  </si>
  <si>
    <t>Pemasukan Februari 2016</t>
  </si>
  <si>
    <t>Pengeluaran Februari 2016</t>
  </si>
  <si>
    <t>Saldo Akhir Bulan Januari 2015</t>
  </si>
  <si>
    <t>Jumlah Saldo per 29 Februari  2016</t>
  </si>
  <si>
    <t>PER 31 JANUARI &amp; 29 FEBRUARI 2016</t>
  </si>
  <si>
    <t>BULAN FEBRUARI</t>
  </si>
  <si>
    <t>MAN 2 Sragen</t>
  </si>
  <si>
    <t>Aris Wibowo</t>
  </si>
  <si>
    <t>April Setyawan</t>
  </si>
  <si>
    <t>PER 29 FEBRUARI 2016</t>
  </si>
  <si>
    <t>Gaji karyawan bulan Februari 2016</t>
  </si>
  <si>
    <t>Kurang bayar Gaji karyawan bulan Januari 2016</t>
  </si>
  <si>
    <t>Amil Operasional</t>
  </si>
  <si>
    <t>Rapat Kerja BAZNAS tahun 2016 (Rapat Badan Pelaksana)</t>
  </si>
  <si>
    <t>Rapat Kerja BAZNAS tahun 2016 (Rapat Lengkap)</t>
  </si>
  <si>
    <t>Operasional kantor bulan Januari-Februari 2016</t>
  </si>
  <si>
    <t>Rapat Rutin bulan Januari-Februari 2016</t>
  </si>
  <si>
    <t xml:space="preserve">Bantuan kegiatan Musyawarah Daerah, BADKO TPQ Kab. Sragen </t>
  </si>
  <si>
    <t>Iuran BPJS Kesehatan bulan Februari 2016</t>
  </si>
  <si>
    <t>Iuran BPJS Ketenagakerjaan bulan Februari 2016</t>
  </si>
  <si>
    <t xml:space="preserve">                     Sragen, 29 Februari  2016</t>
  </si>
  <si>
    <t xml:space="preserve">     Sragen,  31 Maret 2016</t>
  </si>
  <si>
    <t>:450.4  / 03 /BAZNAS-KAB/ III/ 2016</t>
  </si>
  <si>
    <t>BAZNAS Kabupaten Sragen, per 31 Maret 2016 adalah sebagai berikut :</t>
  </si>
  <si>
    <t>Saldo Akhir Bulan Februari 2016</t>
  </si>
  <si>
    <t>Pemasukan Maret 2016</t>
  </si>
  <si>
    <t>Pengeluaran Maret 2016</t>
  </si>
  <si>
    <t>Saldo Akhir Bulan Februari 2015</t>
  </si>
  <si>
    <t>Jumlah Saldo per 31 Maret  2016</t>
  </si>
  <si>
    <t>PER 29 FEBRUARI &amp; 31 MARET 2016</t>
  </si>
  <si>
    <t>BULAN MARET</t>
  </si>
  <si>
    <t>MAN 1 Sragen</t>
  </si>
  <si>
    <t>KJKS LES BAZ</t>
  </si>
  <si>
    <t>Dodok Sartono</t>
  </si>
  <si>
    <t>PER 31 MARET 2016</t>
  </si>
  <si>
    <t>Gaji karyawan bulan Maret 2016</t>
  </si>
  <si>
    <t>Bantuan perbaikan rumah tidak layak huni (RTLH) untuk 9 orang @ Rp 5,000,000,-</t>
  </si>
  <si>
    <t>Bantuan tanggap musibah, untuk 3 orang penerima</t>
  </si>
  <si>
    <t>Bantuan biaya pengobatan a.n Ufairah Mumtazah, Drugan Rt 11/02 Trobayan Kalijambe</t>
  </si>
  <si>
    <t>Bantuan ORMAS Islam untuk 5 ormas</t>
  </si>
  <si>
    <t>Pentasharufan melalui UPZ Kemenag:</t>
  </si>
  <si>
    <t>a. Asnaf fakir miskin</t>
  </si>
  <si>
    <t>b. Asnaf fisabilillah</t>
  </si>
  <si>
    <t>Pentasharufan melalui UPZ MTS N Tanon 2016 (Asnaf fakir miskin)</t>
  </si>
  <si>
    <t>Bina tempat ibadah (sertifikasi tanah wakaf)</t>
  </si>
  <si>
    <t>Amil BAZNAS Kabupaten Sragen</t>
  </si>
  <si>
    <t>Bantuan beasiswa SMA, a.n Ummu Ubaidah, Dk Talun Rt 10 Sidokerto Plupuh</t>
  </si>
  <si>
    <t>Santunan musafir kehabisan bekal, 26 penerima</t>
  </si>
  <si>
    <t>Rapat Rutin bulan Maret 2016</t>
  </si>
  <si>
    <t>Operasional kantor bulan Maret 2016</t>
  </si>
  <si>
    <t>Operasional Ambulan BAZNAS</t>
  </si>
  <si>
    <t>Bantuan kegiatan keagamaan masyarakat, untuk 13 penerima</t>
  </si>
  <si>
    <t>Bantuan pembangunan Masjid, TPQ, PONTREN dll, untuk 2 penerima</t>
  </si>
  <si>
    <t>Operasional penyelenggaraan Rakor BAZNAS dengan UPZ</t>
  </si>
  <si>
    <t>Iuran BPJS Kesehatan bulan Maret 2016</t>
  </si>
  <si>
    <t>Iuran BPJS Ketenagakerjaan bulan Maret 2016</t>
  </si>
  <si>
    <t>Honor lembur staf persiapan Rakor dengan UPZ &amp; workshop Dai zakat</t>
  </si>
  <si>
    <t xml:space="preserve">                     Sragen, 31 Maret  2016</t>
  </si>
  <si>
    <t xml:space="preserve">     Sragen,  30 April 2016</t>
  </si>
  <si>
    <t>:450.4  / 04 /BAZNAS-KAB/ IV/ 2016</t>
  </si>
  <si>
    <t>BAZNAS Kabupaten Sragen, per 30 April 2016 adalah sebagai berikut :</t>
  </si>
  <si>
    <t>Saldo Akhir Bulan Maret 2016</t>
  </si>
  <si>
    <t>Pemasukan April 2016</t>
  </si>
  <si>
    <t>Pengeluaran April 2016</t>
  </si>
  <si>
    <t>Jumlah Saldo per 30 April  2016</t>
  </si>
  <si>
    <t xml:space="preserve"> Keterangan: Setoran Zakat dan Infaq dapat melalui </t>
  </si>
  <si>
    <t>Bank Jateng Rek. 1-0-010-00553-1 (zakat), 1-00-00330-4 (infaq)</t>
  </si>
  <si>
    <t>Bank Jateng Syariah Rek. 6-041-00004-5 (zakat), 6-041-00005-9 (infaq)</t>
  </si>
  <si>
    <t>Bank BRI Rek. 0140-01-000547-30-9 (zakat), 0140-01-000553-30-0 (infaq)</t>
  </si>
  <si>
    <t>TTD</t>
  </si>
  <si>
    <t>PER 31 MARET &amp; 30 APRIL 2016</t>
  </si>
  <si>
    <t>BULAN APRIL</t>
  </si>
  <si>
    <t>MTS N Plupuh</t>
  </si>
  <si>
    <t>MTS N Sragen</t>
  </si>
  <si>
    <t>Umar Banjarasri</t>
  </si>
  <si>
    <t>Darmawan</t>
  </si>
  <si>
    <t>PER 30 APRIL 2016</t>
  </si>
  <si>
    <t>Gaji karyawan bulan April 2016</t>
  </si>
  <si>
    <t>Bantuan perbaikan rumah tidak layak huni (RTLH) untuk 5 orang @ Rp 5,000,000,-</t>
  </si>
  <si>
    <t>Bantuan tanggap musibah, untuk 6 orang penerima</t>
  </si>
  <si>
    <t>Santunan musafir kehabisan bekal, 9 penerima</t>
  </si>
  <si>
    <t>Rapat Rutin bulan April 2016</t>
  </si>
  <si>
    <t>Operasional kantor bulan April 2016</t>
  </si>
  <si>
    <t>Perbaikan baliho Jetak, cetak MMT baliho &amp; ongkos pasang</t>
  </si>
  <si>
    <t>Bantuan kegiatan keagamaan, acara khitanan massal LSM Bina akses Kab. Sragen</t>
  </si>
  <si>
    <t>Iuran BPJS Kesehatan bulan April 2016</t>
  </si>
  <si>
    <t>Iuran BPJS Ketenagakerjaan bulan April 2016</t>
  </si>
  <si>
    <t>Kegiatan pembinaan unit pengembangan BAZNAS dengan KB &amp; TKIU BAZSRA</t>
  </si>
  <si>
    <t>Pengurusan Administrasi tanah BAZNAS ke notaris</t>
  </si>
  <si>
    <t xml:space="preserve">                     Sragen, 30 April  2016</t>
  </si>
  <si>
    <t xml:space="preserve">     Sragen,  31 Mei 2016</t>
  </si>
  <si>
    <t>:450.4 / 05 /BAZNAS-KAB/ V/ 2016</t>
  </si>
  <si>
    <t>BAZNAS Kabupaten Sragen, per 31 Mei 2016 adalah sebagai berikut :</t>
  </si>
  <si>
    <t>Saldo Akhir Bulan April 2016</t>
  </si>
  <si>
    <t>Pemasukan Mei 2016</t>
  </si>
  <si>
    <t>Pengeluaran Mei 2016</t>
  </si>
  <si>
    <t>Jumlah Saldo per 31 Mei  2016</t>
  </si>
  <si>
    <t>PER 30 APRIL &amp; 31 MEI 2016</t>
  </si>
  <si>
    <t>BULAN MEI</t>
  </si>
  <si>
    <t>MTS N Gondang</t>
  </si>
  <si>
    <t>SMP 4 Sragen</t>
  </si>
  <si>
    <t>H. Mustaqiem</t>
  </si>
  <si>
    <t>Sudarmanto</t>
  </si>
  <si>
    <t>Sandi Finissia</t>
  </si>
  <si>
    <t>PER 31 MEI 2016</t>
  </si>
  <si>
    <t>Gaji karyawan bulan Mei 2016</t>
  </si>
  <si>
    <t xml:space="preserve">Bantuan perbaikan rumah tidak layak huni (RTLH) pada acara TMMD Kec. Miri untuk 2 rumah </t>
  </si>
  <si>
    <t>Bantuan tanggap musibah untuk Mbh Sarjo yang tinggal dikandang kambing kec. Karangmalang</t>
  </si>
  <si>
    <t>Santunan musafir kehabisan bekal</t>
  </si>
  <si>
    <t>Bantuan Biaya Pendidikan siswa pintar SMK/ SMA/ MA</t>
  </si>
  <si>
    <t>Pentasharufan Bantuan Mahasiswa Pintar I, II &amp; III</t>
  </si>
  <si>
    <t>Pendampingan Mustahik Zakat Produktif</t>
  </si>
  <si>
    <t>Bantuan Operasional Rawat Inap keluarga miskin bekerjasama dengan Dinas Kesehatan Kab. Sragen</t>
  </si>
  <si>
    <t>Amil pengurus BAZNAS Kabupaten Sragen</t>
  </si>
  <si>
    <t>Rapat Rutin bulan Mei 2016</t>
  </si>
  <si>
    <t>Operasional kantor bulan Mei 2016</t>
  </si>
  <si>
    <t>Operasional pelaksanaan program &amp; pentasharufan BAZNAS, meliputi:</t>
  </si>
  <si>
    <t>a. Perjalanan dinas mengikuti kegiatan peningkatan pemahaman peraturan perundang-undangan</t>
  </si>
  <si>
    <t xml:space="preserve">    pengelolaan Zakat di Semarang</t>
  </si>
  <si>
    <t xml:space="preserve">b. Perjalanan dinas mengantarkan surat permohonan pendampingan penggunaan aplikasi simba </t>
  </si>
  <si>
    <t xml:space="preserve">    ke BAZNAS pusat di Jakarta</t>
  </si>
  <si>
    <t>c. Iklan ucapan selamat &amp; sukses pelantikan Bupati Sragen di harian Solopos</t>
  </si>
  <si>
    <t>d. Operasional bantuan biaya pendidikan Siswa Pintar SMA/ SMK/ MA</t>
  </si>
  <si>
    <t>e. Transport &amp; uang saku mengikuti kegiatan Workshop Pengelolaan LAZ di Semarang</t>
  </si>
  <si>
    <t xml:space="preserve">f. Uang saku &amp; transport menjadi narasumber pembinaan LAZ yang diselenggarakan oleh kemenag  </t>
  </si>
  <si>
    <t xml:space="preserve">   Kab Pekalongan</t>
  </si>
  <si>
    <t>g. BBM &amp; Uang makan petugas survei bantuan pembangunan masjid, Musholla, ponpes, TPQ</t>
  </si>
  <si>
    <t>Bantuan kegiatan keagamaan Masyarakat, meliputi:</t>
  </si>
  <si>
    <t>a. Bantuan Gerakan Masjid ASRI (Gemari) tahun 2016, Kankemenag Kab. Sragen</t>
  </si>
  <si>
    <t>b. Bantuan kegiatan Festival Nusantara &amp; pengajian akbar, GP Anshor Kec. Karangmalang</t>
  </si>
  <si>
    <t>c. Bantuan Program Childoe ( sanitasi lingkungan, penelitian dll)</t>
  </si>
  <si>
    <t xml:space="preserve">d. Bantuan pengajian umum haflah &amp; tahtimul kutub, Madin Darul Ulum, Glagah Rt 05/11 Mojorejo </t>
  </si>
  <si>
    <t xml:space="preserve">    Karangmalang</t>
  </si>
  <si>
    <t>e. Bantuan pengajian akbar peringatan Hari Jadi Sragen ke 270</t>
  </si>
  <si>
    <t>Iuran BPJS Kesehatan bulan Mei 2016</t>
  </si>
  <si>
    <t>Iuran BPJS Ketenagakerjaan bulan Mei 2016</t>
  </si>
  <si>
    <t xml:space="preserve">Pemeliharaan &amp; penambahan Sarpras Gdg Baznas, meliputi: </t>
  </si>
  <si>
    <t>a. pengadaan AC &amp; perbaikan instalansi listrik</t>
  </si>
  <si>
    <t>b. Perbaikan proyektor kantor</t>
  </si>
  <si>
    <t xml:space="preserve">Pembekalan &amp; pembinaan Mahasiswa penerima Beasiswa ( Operasional pentasharufan bantuan </t>
  </si>
  <si>
    <t>Mahasiswa Pintar I, II &amp; III)</t>
  </si>
  <si>
    <t xml:space="preserve">                     Sragen, 31 Mei  2016</t>
  </si>
  <si>
    <t xml:space="preserve">     Sragen,  30 Juni 2016</t>
  </si>
  <si>
    <t>:450.4  / 06 /BAZNAS-KAB/ VI/ 2016</t>
  </si>
  <si>
    <t>BAZNAS Kabupaten Sragen, per 30 Juni 2016 adalah sebagai berikut :</t>
  </si>
  <si>
    <t>Saldo Akhir Bulan Mei 2016</t>
  </si>
  <si>
    <t>Pemasukan Juni 2016</t>
  </si>
  <si>
    <t>Pengeluaran Juni 2016</t>
  </si>
  <si>
    <t>Jumlah Saldo per 30 Juni 2016</t>
  </si>
  <si>
    <t>PER 31 MEI &amp; 30 JUNI 2016</t>
  </si>
  <si>
    <t>BULAN JUNI</t>
  </si>
  <si>
    <t>BKBPMD</t>
  </si>
  <si>
    <t>Dinas Perdagangan</t>
  </si>
  <si>
    <t>RSUD Soehadi Prijonegoro Sragen</t>
  </si>
  <si>
    <t>Besar Kauman</t>
  </si>
  <si>
    <t>Sekar</t>
  </si>
  <si>
    <t>Suharno</t>
  </si>
  <si>
    <t>Idha Sulistyani</t>
  </si>
  <si>
    <t>Margono</t>
  </si>
  <si>
    <t>Subagiyo</t>
  </si>
  <si>
    <t>Uswatun Hasanah</t>
  </si>
  <si>
    <t xml:space="preserve">Rudy </t>
  </si>
  <si>
    <t>Kusdinar Untung Yuni S (Bupati)</t>
  </si>
  <si>
    <t>Anna Berliana</t>
  </si>
  <si>
    <t>Sunarto</t>
  </si>
  <si>
    <t>Wilujeng Rahayu</t>
  </si>
  <si>
    <t>Yuli A</t>
  </si>
  <si>
    <t>Supriyanto</t>
  </si>
  <si>
    <t>Rohma Denita L</t>
  </si>
  <si>
    <t>PER 30 JUNI 2016</t>
  </si>
  <si>
    <t>Gaji karyawan bulan Juni 2016</t>
  </si>
  <si>
    <t>Tanggap Musibah Santunan Duka Cita an Adrian Supriyanti korban Musibah Banjir Dk Prianganom Plupuh</t>
  </si>
  <si>
    <t>Pentasharufan melalui UPZ Masjid Jami' Sukodono meliputi :</t>
  </si>
  <si>
    <t>a. Santunan Anak Yatim</t>
  </si>
  <si>
    <t>b. Insentif Ustad TPQ/ Madin</t>
  </si>
  <si>
    <t>c. Insentif Kyai</t>
  </si>
  <si>
    <t>d. Tanggap Musibah</t>
  </si>
  <si>
    <t>Pentasharufan Santunan 1500 Fakir Miskin</t>
  </si>
  <si>
    <t>Insentif UPZ Zakat</t>
  </si>
  <si>
    <t>Santunan anak yatim untuk yayasan Nurul Muttathohirin Sambungmacan</t>
  </si>
  <si>
    <t>Paket Sembako Ramadhan Untuk Warga Kurang Mampu</t>
  </si>
  <si>
    <t>Bantuan Peralatan Sholat Bagi Masjid Yang Menjadi Lokasi Safari Ramadhan 2016</t>
  </si>
  <si>
    <t>Operasional Pelaksanaan Program dan Pentasharufan BAZNAS Meliputi :</t>
  </si>
  <si>
    <t>a. Operasional Bantuan Peralatan Sholat dan Paket Sembako</t>
  </si>
  <si>
    <t>b. Operasional Kegiatan Pembagian Tajil dan Sembako</t>
  </si>
  <si>
    <t>c. Kegiatan Pendampingan Sistem Informasi Manajemen BAZNAS (SIMBA)</t>
  </si>
  <si>
    <t>d. Liputan Safari Ramadhan di Koran Jawa POS Radar Solo</t>
  </si>
  <si>
    <t>e. Operasional Pentasharufan Santunan Keluarga Miskin dan Insentif UPZ</t>
  </si>
  <si>
    <t xml:space="preserve">f. Kegiatan Pelantikan Pengurus Masjid BAZIS UI </t>
  </si>
  <si>
    <t xml:space="preserve">Kegiatan Pembagian Ta'jil dan Sembako </t>
  </si>
  <si>
    <t>Bantuan Kegiatan Keagamaan meliputi :</t>
  </si>
  <si>
    <t>a. Bantuan Kegiatan Bulan Ramadhan BADKO TPQ Tanon</t>
  </si>
  <si>
    <t>b. Bantuan Kegiatan Semarak Bulan Ramadhan BADKO TPQ Kalijambe</t>
  </si>
  <si>
    <t>c. Bantuan Kegiatan Semarak Ramadhan Risma Masjid Alfalah Sragen</t>
  </si>
  <si>
    <t>d. Bantuan Kegiatan Keagamaan Khataman IPNU Kecamatan Tanon</t>
  </si>
  <si>
    <t>e. Bantuan Kegiatan Ramadhan Bermakna Muslimah Mandiri Melati Harapan</t>
  </si>
  <si>
    <t>f. Bantuan Seminar dan Pelatihan Pengurus PP Muslimah (Salimah) Mojomulyo RT 02/11 Sragen</t>
  </si>
  <si>
    <t>g. Bantuan Kegiatan Iktikaf Ramadhan IKADI</t>
  </si>
  <si>
    <t xml:space="preserve">h. Bantuan Santunan Fakir Miskin di Wilayah Desa Bendungan Kecamatan Kedawung </t>
  </si>
  <si>
    <t>i. Bantuan Kegiatan Acara Gebyar Ramadhan Lomba Anak Risma Al Husna Tangen</t>
  </si>
  <si>
    <t>j. Bantuan Kegiatan Bakti Ramadhan STIT Madina Sragen</t>
  </si>
  <si>
    <t xml:space="preserve">Bantuan seragam sekolah putra Ibu Sri Kristanti, Krapyak RT 31 / X Sragen Wetan </t>
  </si>
  <si>
    <t>Insentif SDM Masjid BAZIS dan TKIU BAZSRA</t>
  </si>
  <si>
    <t xml:space="preserve">Biaya Rubrik Konsultasi Zakat dan Operasional di Harian Solo Pos </t>
  </si>
  <si>
    <t>Biaya Iklan dan Talkshow Ramadhan Serta Biaya Operasional</t>
  </si>
  <si>
    <t>Insentif UPZIS Infaq</t>
  </si>
  <si>
    <t>Operasional BAZNAS Meliputi:</t>
  </si>
  <si>
    <t>a.Rapat Rutin Pengurus BAZNAS</t>
  </si>
  <si>
    <t>b.Iuran BPJS Kesehatan bulan Juni</t>
  </si>
  <si>
    <t>c.Iuran BPJS Ketenagakerjaan bulan Juni</t>
  </si>
  <si>
    <t>d. THR Karyawan</t>
  </si>
  <si>
    <t>e. Operasional Kantor (Listrik, Telepon, Internet, BBM, Fotocopy, Service dll)</t>
  </si>
  <si>
    <t>Operasional dan cetak buletin Zakkaha</t>
  </si>
  <si>
    <t xml:space="preserve">                     Sragen, 30 Juni  2016</t>
  </si>
  <si>
    <t xml:space="preserve">     Sragen,  30 Juli 2016</t>
  </si>
  <si>
    <t>:450.4  / 07 /BAZNAS-KAB/ VII/ 2016</t>
  </si>
  <si>
    <t>BAZNAS Kabupaten Sragen, per 30 Juli 2016 adalah sebagai berikut :</t>
  </si>
  <si>
    <t>Saldo Akhir Bulan Juni 2016</t>
  </si>
  <si>
    <t>Pemasukan Juli 2016</t>
  </si>
  <si>
    <t>Pengeluaran Juli 2016</t>
  </si>
  <si>
    <t>Jumlah Saldo per 30 Juli 2016</t>
  </si>
  <si>
    <t>PER 30 JUNI &amp; 30 JULI 2016</t>
  </si>
  <si>
    <t>BULAN JULI</t>
  </si>
  <si>
    <t>Buzang &amp; Keluarga</t>
  </si>
  <si>
    <t>Ariska Taminawati</t>
  </si>
  <si>
    <t>PER 30 JULI 2016</t>
  </si>
  <si>
    <t>Gaji karyawan bulan Juli 2016</t>
  </si>
  <si>
    <t xml:space="preserve">Santunan Musyafir Kehabisan Bekal </t>
  </si>
  <si>
    <t>Operasional BAZNAS Meliputi :</t>
  </si>
  <si>
    <t xml:space="preserve">Iuaran BPJS Kesehatan Karyawan </t>
  </si>
  <si>
    <t>BPJS Ketenagakerjaan</t>
  </si>
  <si>
    <t>Operasional Kantor Juli</t>
  </si>
  <si>
    <t>Rapat Rutin Pengurus BAZNAS Sragen</t>
  </si>
  <si>
    <t>Operasional Ambulan</t>
  </si>
  <si>
    <t xml:space="preserve">                     Sragen, 30 Juli  2016</t>
  </si>
  <si>
    <t xml:space="preserve">     Sragen,  31 Agustus 2016</t>
  </si>
  <si>
    <t>:450.4  / 08 /BAZNAS-KAB/ VIII/ 2016</t>
  </si>
  <si>
    <t>6. ……………………………………………………………………….</t>
  </si>
  <si>
    <t xml:space="preserve"> Amil Zakat Nasional (BAZNAS) Kab. Sragen, per 31 Agustus 2016 adalah sebagai berikut :</t>
  </si>
  <si>
    <t>Saldo Akhir Bulan Juli 2016</t>
  </si>
  <si>
    <t>Pemasukan Agustus 2016</t>
  </si>
  <si>
    <t>Pengeluaran Agustus 2016</t>
  </si>
  <si>
    <t>Jumlah Saldo per 31 Agustus 2016</t>
  </si>
  <si>
    <t>PER 31 JULI &amp; 31 AGUSTUS 2016</t>
  </si>
  <si>
    <t>BULAN AGUSTUS</t>
  </si>
  <si>
    <t>BUPATI &amp; WAKIL BUPATI</t>
  </si>
  <si>
    <t>Bupati</t>
  </si>
  <si>
    <t>Bupati &amp; Wakil Bupati</t>
  </si>
  <si>
    <t>Eyang Umar Banjarasri</t>
  </si>
  <si>
    <t>Samsul Hadi</t>
  </si>
  <si>
    <t>Awal</t>
  </si>
  <si>
    <t>PER 31 AGUSTUS 2016</t>
  </si>
  <si>
    <t>Bantuan Tanggap Musibah Anak Tenggelam di Kolam Ikan an. Muhammmad Azam Bin Arif Budiawan</t>
  </si>
  <si>
    <t>Dk. Sambi RT 20 Sambi, Kecamatan Sambirejo</t>
  </si>
  <si>
    <t>Bantuan Tanggap Musibah Rumah Roboh an. Kamat Dk Kaloran RT 06 Ds Kaloran Kec Gemolong</t>
  </si>
  <si>
    <t>Gaji Karyawan Bulan Agustus 2016</t>
  </si>
  <si>
    <t>Amil</t>
  </si>
  <si>
    <t xml:space="preserve">Ibnu Sabil </t>
  </si>
  <si>
    <t>Operasional Sholat Idul Fitri 1437 H</t>
  </si>
  <si>
    <t>Bantuan Kegiatan Keagamaan :</t>
  </si>
  <si>
    <t>a. Bantuan Kegiatan Seminar Kesehtan dan Anti Radikalisme PC Fatayat NU Sragen</t>
  </si>
  <si>
    <t>b. Bantuan Kegiatan Pengajian Akbar Ponpes Annajah Gondang, Sragen.</t>
  </si>
  <si>
    <t>c. Bantuan Operasional Kegiatan Qurban di Dukuh Sinom, Ds Gebang Kecamatan Sukodono</t>
  </si>
  <si>
    <t xml:space="preserve">   Kelompok Kerja Penyuluh Agama Islam Kemenag Sragen.</t>
  </si>
  <si>
    <t>d. Operasional Pelantikan Pimpinan BAZNAS Sragen.</t>
  </si>
  <si>
    <t>e. Bantuan Pembangunan Ponpes Shofwan Abdul Lathif Jattirogo RT 06 RW 04 Mannyarejo Plupuh Sragen</t>
  </si>
  <si>
    <t>f. Iklan Ucapan Idul Fitri 1437 H di Harian Solopos</t>
  </si>
  <si>
    <t>Cetak Rollbanner</t>
  </si>
  <si>
    <t>Install Komputer, Service Laptop dan Cetak Cover NPWZ 1.000 pcs.</t>
  </si>
  <si>
    <t>Pembelian Printer untuk Cetak Kartu NPWZ (Nomor Pokok Wajib Zakat)</t>
  </si>
  <si>
    <t>a. BPJS Kesehatan</t>
  </si>
  <si>
    <t>b. BPJS Ketenagakerjaan</t>
  </si>
  <si>
    <t>c. Operasional Kantor (Biaya Listrik, tlp, air, fotocopy, atk dll)</t>
  </si>
  <si>
    <t>d. Operasional Rapat Pengurus BAZNAS</t>
  </si>
  <si>
    <t xml:space="preserve">                     Sragen, 31 Agustus  2016</t>
  </si>
  <si>
    <t xml:space="preserve">     BADAN AMIL ZAKAT NASIONAL </t>
  </si>
  <si>
    <t xml:space="preserve"> Telp /Fax: (0271) 8825250 e-mail:bazdasragen@yahoo.com website:www.bazsragen.org SRAGEN - 57252</t>
  </si>
  <si>
    <t xml:space="preserve">     Sragen,  30 September 2016</t>
  </si>
  <si>
    <t>:450.4  / 09 /BAZNAS-KAB/ IX/ 2016</t>
  </si>
  <si>
    <t xml:space="preserve">Bersama ini kami laporkan Pemasukan dan Pengeluaran Dana Zakat, Infaq / Shadaqah Badan </t>
  </si>
  <si>
    <t>Amil Zakat Nasional (BAZNAS) Kab. Sragen, per 30 September 2016 adalah sebagai berikut :</t>
  </si>
  <si>
    <t>Saldo Akhir Bulan Agustus 2016</t>
  </si>
  <si>
    <t>Pemasukan September 2016</t>
  </si>
  <si>
    <t>Pengeluaran September 2016</t>
  </si>
  <si>
    <t>Jumlah Saldo per 30 September 2016</t>
  </si>
  <si>
    <t>Wakil Ketua II</t>
  </si>
  <si>
    <t>H. Mulyono Raharjo, S.Pd, MM</t>
  </si>
  <si>
    <t>3. Ka. Kankemenag Kab. Sragen</t>
  </si>
  <si>
    <t>PER 31 AGUSTUS &amp; 30 SEPTEMBER 2016</t>
  </si>
  <si>
    <t>BULAN SEPTEMBER</t>
  </si>
  <si>
    <t>BAPPEDA</t>
  </si>
  <si>
    <t>Hamba Allah 1</t>
  </si>
  <si>
    <t>Hamba Allah 2</t>
  </si>
  <si>
    <t>Darmono</t>
  </si>
  <si>
    <t>Heni Setyowati</t>
  </si>
  <si>
    <t>DONASI GARUT &amp; SUMEDANG</t>
  </si>
  <si>
    <t>DPRD Kab. Sragen</t>
  </si>
  <si>
    <t>SD Ngargosari 2</t>
  </si>
  <si>
    <t>SD N Suwatu</t>
  </si>
  <si>
    <t>Kayukaukah.com</t>
  </si>
  <si>
    <t>KB&amp;TK IU BAZSRA</t>
  </si>
  <si>
    <t>PER 30 SEPTEMBER 2016</t>
  </si>
  <si>
    <t>Bantuan Perbaikan Rumah Tidak Layak Huni 2 unit Pada Acara TMMD di Ds Poleng Kec. Gesi Sragen</t>
  </si>
  <si>
    <t>Ibnu Sabil</t>
  </si>
  <si>
    <t>a. Gaji Karyawan</t>
  </si>
  <si>
    <t>b. BPJS Kesehatan</t>
  </si>
  <si>
    <t>c. BPJS Ketenagakjerjaan</t>
  </si>
  <si>
    <t>d. Operasional Kantor (Listrik, tlp, air, Internet dll)</t>
  </si>
  <si>
    <t xml:space="preserve">e. Operasional Rapat </t>
  </si>
  <si>
    <t>Bantuan Kegiatan Keagamaan:</t>
  </si>
  <si>
    <t>a. Bantuan Indahnya berbagi melalui pelaksanaan Qurban TKIU BAZSRA</t>
  </si>
  <si>
    <t>b. Kegiatan Idul Adha 1437 H</t>
  </si>
  <si>
    <t>c. Pelantikan Pimpinan BAZNAS</t>
  </si>
  <si>
    <t>d. Cetak naskah khutbah Idul Adha 1437 H</t>
  </si>
  <si>
    <t>e. Distribusi Naskah khutbah Idul Adha 1437 H</t>
  </si>
  <si>
    <t>f. Editor naskah khutbah Idul Adha 1437 H</t>
  </si>
  <si>
    <t>Kegiatan Peduli Warga Binaan di LAPAS Sragen</t>
  </si>
  <si>
    <t>Operasional Pentasharufan Kegiatan di Lapas</t>
  </si>
  <si>
    <t xml:space="preserve">Cetak buletin Zakkaha BAZNAS </t>
  </si>
  <si>
    <t xml:space="preserve">Cetak dan pasang Spanduk dan Baliho Ajakan Sholat Idul Adha 1437 H </t>
  </si>
  <si>
    <t xml:space="preserve">                     Sragen, 30 September  2016</t>
  </si>
  <si>
    <t>H. Mulyono Raharjo, SPd MM</t>
  </si>
  <si>
    <t xml:space="preserve">         BADAN AMIL ZAKAT NASIONAL </t>
  </si>
  <si>
    <t xml:space="preserve">     Sragen,  31 Oktober 2016</t>
  </si>
  <si>
    <t>:450.4  / 10 /BAZNAS-KAB/ X/ 2016</t>
  </si>
  <si>
    <t>Amil Zakat Nasional (BAZNAS) Kab. Sragen, per 31 Oktober 2016 adalah sebagai berikut :</t>
  </si>
  <si>
    <t>Saldo Akhir Bulan September 2016</t>
  </si>
  <si>
    <t>Pemasukan Oktober 2016</t>
  </si>
  <si>
    <t>Pengeluaran Oktober 2016</t>
  </si>
  <si>
    <t>Saldo Akhir Bulan September2016</t>
  </si>
  <si>
    <t>Jumlah Saldo per 31 Oktober 2016</t>
  </si>
  <si>
    <t>PER 30 SEPTEMBER &amp; 31 OKTOBER 2016</t>
  </si>
  <si>
    <t>BULAN OKTOBER</t>
  </si>
  <si>
    <t>Wakil Bupati</t>
  </si>
  <si>
    <t>Naura N Ashari</t>
  </si>
  <si>
    <t>Darono</t>
  </si>
  <si>
    <t>Arief Fahmi FA</t>
  </si>
  <si>
    <t>UPT Diknas Jenar</t>
  </si>
  <si>
    <t>PDE Kab. Sragen</t>
  </si>
  <si>
    <t>PER 31 OKTOBER 2016</t>
  </si>
  <si>
    <t>Bantuan Pengobatan Untuk Warga Kurang Mampu:</t>
  </si>
  <si>
    <t>a. Biaya Pendampingan pengobatan anak Bapak Hardi dk Masaran RT 03 yang bernama Ananda Fitria</t>
  </si>
  <si>
    <t xml:space="preserve">   yang mengalami patah kaki karena kecelakaan</t>
  </si>
  <si>
    <t>b. Biaya Pendampingan Pengobatan anak Bapak Purwanto dk Sarirejo Jengglong Kedawung</t>
  </si>
  <si>
    <t xml:space="preserve">    atas nama Hasna Asti muflikha yang sakit kelainan Jantung</t>
  </si>
  <si>
    <t>Bantuan Tanggap Musibah :</t>
  </si>
  <si>
    <t>a. Bantuan Tanggap Musibah Rumah Roboh an Tumiyem dk Jati Batur RT 10 Jatibatur Gemolong</t>
  </si>
  <si>
    <t>b. Bantuan tanggap musibah rumah roboh an Pawirorejo dk Jati batur Gemolong</t>
  </si>
  <si>
    <t>e. Operasional Rapat</t>
  </si>
  <si>
    <t>Donasi untuk korban Musibah Banjir di Garut dan Sumedang</t>
  </si>
  <si>
    <t xml:space="preserve">Bantuan Kegiatan Keagaman </t>
  </si>
  <si>
    <t>a. Bantuan dana kegiatan manasik haji anak-anak TK Baitul Misbah</t>
  </si>
  <si>
    <t>b. Bantuan Kegiatan Pengajian Tahun Baru Hijriah kepada PHBI</t>
  </si>
  <si>
    <t>Pelaksanaan Program dan Pentasharufan BAZNAS:</t>
  </si>
  <si>
    <t>a. Peserta BIMTEK SIMZAT (Sistem Informasi Manajemen Zakat Infaq)</t>
  </si>
  <si>
    <t>b. Entry Data SIMBA Serentak secara Nasional di Semarang</t>
  </si>
  <si>
    <t>c. Menghadiri pelaksanaan qurban yang dilaksanakan oleh POKJALUH di Sukodono</t>
  </si>
  <si>
    <t>d. Operasional menghadiri seminar dan penandatanganan MOU dengan IAIN Surakarta</t>
  </si>
  <si>
    <t>e. Operasional menghadiri upacara pembukaan TNI Manunggal Membangun Desa</t>
  </si>
  <si>
    <t>f. Transport Narasumber SIMBA (Sistem Informasi Manajemen Zakat Infaq) ke Semarang</t>
  </si>
  <si>
    <t xml:space="preserve">                     Sragen, 31 Oktober  2016</t>
  </si>
  <si>
    <t>( BAZNAS )</t>
  </si>
  <si>
    <t>KABUPATEN SRAGEN</t>
  </si>
  <si>
    <t xml:space="preserve">     Sragen,  30 November 2016</t>
  </si>
  <si>
    <t>:450.4  / X /BAZNAS-KAB/ XI/ 2016</t>
  </si>
  <si>
    <t xml:space="preserve">Bersama ini kami laporkan Pemasukan dan Pengeluaran Dana Zakat, Infaq / Shadaqah BAZNAS </t>
  </si>
  <si>
    <t>Kabupaten Sragen, per 30 November 2016 adalah sebagai berikut :</t>
  </si>
  <si>
    <t>Saldo Akhir Bulan Oktober 2016</t>
  </si>
  <si>
    <t>Pemasukan Nopember 2016</t>
  </si>
  <si>
    <t>Pengeluaran Nopember 2016</t>
  </si>
  <si>
    <t>Jumlah Saldo per 30 Nopember 2016</t>
  </si>
  <si>
    <t>PER 31 OKTOBER &amp; 30 NOVEMBER 2016</t>
  </si>
  <si>
    <t>BULAN NOVEMBER</t>
  </si>
  <si>
    <t>MTS Gemolong</t>
  </si>
  <si>
    <t>Dedy Edriyatno</t>
  </si>
  <si>
    <t>Ndari</t>
  </si>
  <si>
    <t>Slamet Supriya</t>
  </si>
  <si>
    <t>Shofi Rifqi ZU</t>
  </si>
  <si>
    <t>PER 30 NOPEMBER 2016</t>
  </si>
  <si>
    <t xml:space="preserve">a. Bantuan Tanggap Musibah rumah rubuh karena angin putting beliung di Desa Jenar </t>
  </si>
  <si>
    <t>b. Bantuan Tanggap Musibah rumah rubuh karena angin putting beliung di Desa Kandangsapi Jenar</t>
  </si>
  <si>
    <t>b. Bantuan Tanggap Musibah rumah rubuh karena angin putting beliung di Desa Dawung Jenar</t>
  </si>
  <si>
    <t>c. Bantuan untuk korban banjir di Sumpiuh Kabupaten Banyumas</t>
  </si>
  <si>
    <t>Pentasharufan untuk Muallaf di 20 KUA Se Kabupaten Sragen</t>
  </si>
  <si>
    <t>Bendahara setor kembali</t>
  </si>
  <si>
    <t>a. Bantuan Kegiatan Islamic Student Camp IPPNU Kecamatan Sukodono</t>
  </si>
  <si>
    <t>b. Bantuan Kegiatan Munas LDII</t>
  </si>
  <si>
    <t>c. Bantuan untuk kegiatan keagamaan TK Almajida Kedawung</t>
  </si>
  <si>
    <t>d. Bantuan Kegiatan Khitanan masal Yayasan Kepras Sragen kulon.</t>
  </si>
  <si>
    <t>e. Bantuan dana untuk pelatihan mendongeng cerita Islami yang diadakan oleh IPPMI Sragen</t>
  </si>
  <si>
    <t>a. Operasional Pentasharufan Muallaf</t>
  </si>
  <si>
    <t xml:space="preserve">b. Operasional Talk Show di Radio Buana Asri </t>
  </si>
  <si>
    <t>Bantuan Pembangunan Masjid, Mushola, dan Ponpes dll</t>
  </si>
  <si>
    <t>a.Bantuan Biaya Sekolah An Aji Setiyawan alamat bagan Nglorog Sragen</t>
  </si>
  <si>
    <t>b. Bantuan untuk ponpes yatim piatu Yaumika Sidoharjo</t>
  </si>
  <si>
    <t>c. Pengurusan Tanah BAZNAS Sragen</t>
  </si>
  <si>
    <t>d. Bantuan dana pembangunan masjid Al Muttaqin, Dk.Pilang RT.12/02 Masaran</t>
  </si>
  <si>
    <t>e. Bantuan dana pembangunan masjid Al Istiqomah, Dk.Jengglong Ds.Dawungan Kec.Masaran</t>
  </si>
  <si>
    <t>f. Bantuan dana pembangunan masjid An-Nur, Dk.Baok RT.25 Ds.Kebonromo Kec.Ngrampal</t>
  </si>
  <si>
    <t>g. Bantuan dana pembangunan masjid Nurul Ilmi, SMA N 1 Plupuh</t>
  </si>
  <si>
    <t>h. Bantuan dana pembangunan masjid Sakinah, Dk.Kleco Ds.Ngarum Kec.Ngrampal</t>
  </si>
  <si>
    <t>i. Bantuan dana pembangunan masjid Al Hidayah, Dk.Karangtanjung Ds.Ngarum, Kec.Ngrampal</t>
  </si>
  <si>
    <t>j. Bantuan dana pembangunan masjid Muznah Binti Ibrahim Al Wabil, Sidomulyo Rt.1 Ds.Gebang Kec.Sukodono</t>
  </si>
  <si>
    <t>k. Bantuan dana pembangunan masjid Sabilal Muttaqin, Dk.Pucang Rt.27 Ds.Bedoro Kec.Sambungmacan</t>
  </si>
  <si>
    <t>l. Bantuan dana pembangunan masjid Abdullah AL Muqrin, Dk.Camgakan Rt.20 Ds.Bendo Kec.Sukodono</t>
  </si>
  <si>
    <t>m. Bantuan dana pembangunan masjid Jami' Moh Alwy, Dk.Brangkal Rt.09 Ds.Tanggan Kec.Gesi</t>
  </si>
  <si>
    <t>n. Bantuan dana pembangunan masjid Jami' Al Ghofar, Dk.Ngampuan Rt.20 Ds.Kebonromo Kec.Ngrampal</t>
  </si>
  <si>
    <t>o. Bantuan dana pembangunan musholla Koramil 07 Ngrampal</t>
  </si>
  <si>
    <t>p.  Bantuan dana pembangunan musholla Nurul Iman, Dk.Wonorejo Rt.26 Ds.Sambi Kec.Sambirejo</t>
  </si>
  <si>
    <t>q.  Bantuan dana pembangunan ponpes Al Fatah, Dk.Sumbermulyo Ds.Kedungwaduk Kec.Karangmalang</t>
  </si>
  <si>
    <t>r.  Bantuan dana pembangunan BA Aisyiyah Gondang</t>
  </si>
  <si>
    <t>s.  Bantuan dana pembangunan KB/TK Islam Terpadu Az Zahra, Dk.Sidowayah Rt.1 Ds.Jenggrik Kec.Kedawung</t>
  </si>
  <si>
    <t>t.  Bantuan dana pembangunan RAIKA Perwanida Sragen, Jl.Jawa No.21 Rt.25/8 Ds.Kauman Kec.Sragen Wetan</t>
  </si>
  <si>
    <t>u.  Bantuan dana pembangunan TK Birul Walidain Asyiyah, Dk.Candibaru Rt.35/2 Ds.Plumbungan Kec.Karangmalang</t>
  </si>
  <si>
    <t>v.  Bantuan dana pembangunan Madin Sholihin, Dk.Pungkruk/Tempursari Rt.7 Ds.Karanganyar Kec.Sambungmacan</t>
  </si>
  <si>
    <t>w.  Bantuan dana pembangunan TPA Musholla Nurul Iman, Tlebengan Rt.7 Sragen Tengah</t>
  </si>
  <si>
    <t>x.  Bantuan dana pembangunan TPQ Al Ikhlas, Dk.Karangtempel Rt.19/3 Ds.Srimulyo Kec.Gondang</t>
  </si>
  <si>
    <t>y.  Bantuan dana pembangunan MI Nurul Islam Bendo, Dk.Mantub Rt.5 Ds. Bendo Kec.Sukodono</t>
  </si>
  <si>
    <t>z.  Bantuan dana pembangunan TPA Miftahul Ullum, Dk.Jaten Ds.Klandungan Kec.Ngrampal</t>
  </si>
  <si>
    <t>Setor kembali</t>
  </si>
  <si>
    <t xml:space="preserve">     Sragen,  31 Desember 2016</t>
  </si>
  <si>
    <t>:450.4  / 12 /BAZNAS-KAB/ XII/ 2016</t>
  </si>
  <si>
    <t xml:space="preserve">Bersama ini kami laporkan Pemasukan dan Pengeluaran Dana Zakat, Infaq / Shadaqah Badan  </t>
  </si>
  <si>
    <t>Amil Zakat Nasional (BAZNAS) Kab. Sragen, per 31 Desember 2016 adalah sebagai berikut :</t>
  </si>
  <si>
    <t>Saldo Akhir Bulan November 2016</t>
  </si>
  <si>
    <t>Pemasukan Desember 2016</t>
  </si>
  <si>
    <t>Pengeluaran Desember 2016</t>
  </si>
  <si>
    <t>Jumlah Saldo per 31 Desember 2016</t>
  </si>
  <si>
    <t>PER 30 NOVEMBER &amp; 31 DESEMBER 2016</t>
  </si>
  <si>
    <t>MTS N Gemolong</t>
  </si>
  <si>
    <t>Mahmudi</t>
  </si>
  <si>
    <t>PER 31 DESEMBER 2016</t>
  </si>
  <si>
    <t>Bantuan Tanggap Musibah korban gempa Aceh</t>
  </si>
  <si>
    <t>Pentasharufan Modal Usaha Dhuafa untuk 30 Orang</t>
  </si>
  <si>
    <t>Pentasharufan Beasiswa Mahasiswa Pintar IV</t>
  </si>
  <si>
    <t>Pentasharufan Bantuan Biaya Perguruan Tinggi untuk 15 Mahasiswa</t>
  </si>
  <si>
    <t>Pentasharufan Insentif Guru Agama Islam</t>
  </si>
  <si>
    <t>Pentasharufan Ekonomi Produktif untuk 20 orang</t>
  </si>
  <si>
    <t>Pentasharufan bantuan biaya operasional penyelenggaran pendidikan untuk TK/RA/BA 20 sekolah</t>
  </si>
  <si>
    <t>Pentasharufan insentif Kyai/ustad pengasuh ponpes/panti asushan di 20 Kecamatan melalui KUA</t>
  </si>
  <si>
    <t>Pentasharufan insentif Ustad Madin di 20 Kecamatan melalui KUA</t>
  </si>
  <si>
    <t>Pentasharufan insentif penjaga Masjid di 20 Kecamatan melalui KUA</t>
  </si>
  <si>
    <t>Pentasharufan santunan santri di 20 Kecamatan melalui KUA</t>
  </si>
  <si>
    <t>Bantuan Kegiatan Keagaman Kemasyarakatan:</t>
  </si>
  <si>
    <t>a. Operasional Survey Calon Penerima Modal Usaha dhuafa dan Ekonomi Produktif 2016</t>
  </si>
  <si>
    <t>a. Pencetakan kalender BAZNAS 2017</t>
  </si>
  <si>
    <t>b. Transport untuk menghadiri undangan kegiatan pendampingan penyusunan laporan keuangan</t>
  </si>
  <si>
    <t>yang diadakan oleh Kantor Kementerian Agama Wilayah Jawa Tengah di Semarang</t>
  </si>
  <si>
    <t xml:space="preserve">c Operasional pentasharufan ekonomi produktif, modal usaha dhuafa, beasiswa, insentif guru GTT. </t>
  </si>
  <si>
    <t>d. Operasional pentasharufan kyai, ustad, santri dan penjaga masjid</t>
  </si>
  <si>
    <t xml:space="preserve">                     Sragen, 31 Desember  2016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</si>
</sst>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[$Rp-421]* #,##0.00_);_([$Rp-421]* \(#,##0.00\);_([$Rp-421]* &quot;-&quot;??_);_(@_)"/>
    <numFmt numFmtId="165" formatCode="_([$Rp-421]* #,##0_);_([$Rp-421]* \(#,##0\);_([$Rp-421]* &quot;-&quot;_);_(@_)"/>
    <numFmt numFmtId="166" formatCode="_(&quot;Rp&quot;* #,##0_);_(&quot;Rp&quot;* \(#,##0\);_(&quot;Rp&quot;* &quot;-&quot;_);_(@_)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12"/>
      <name val="Arial"/>
      <family val="2"/>
    </font>
    <font>
      <u/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name val="Arial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i/>
      <sz val="14"/>
      <color theme="1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24"/>
      <color indexed="8"/>
      <name val="Times New Roman"/>
      <family val="1"/>
    </font>
    <font>
      <b/>
      <i/>
      <sz val="12"/>
      <color theme="1"/>
      <name val="Calibri"/>
      <family val="2"/>
      <scheme val="minor"/>
    </font>
    <font>
      <sz val="23"/>
      <color theme="1"/>
      <name val="Calibri"/>
      <family val="2"/>
      <scheme val="minor"/>
    </font>
    <font>
      <b/>
      <sz val="23"/>
      <color indexed="8"/>
      <name val="Times New Roman"/>
      <family val="1"/>
    </font>
    <font>
      <u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41" fontId="32" fillId="0" borderId="0" applyFont="0" applyFill="0" applyBorder="0" applyAlignment="0" applyProtection="0"/>
  </cellStyleXfs>
  <cellXfs count="327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0" fontId="10" fillId="0" borderId="0" xfId="0" applyFont="1"/>
    <xf numFmtId="0" fontId="11" fillId="0" borderId="1" xfId="0" applyFont="1" applyBorder="1" applyAlignment="1">
      <alignment horizontal="right"/>
    </xf>
    <xf numFmtId="0" fontId="12" fillId="3" borderId="2" xfId="0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64" fontId="12" fillId="3" borderId="3" xfId="1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/>
    <xf numFmtId="0" fontId="13" fillId="0" borderId="6" xfId="0" applyFont="1" applyBorder="1" applyAlignment="1"/>
    <xf numFmtId="0" fontId="13" fillId="0" borderId="7" xfId="0" applyFont="1" applyBorder="1" applyAlignment="1"/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41" fontId="14" fillId="0" borderId="4" xfId="2" applyNumberFormat="1" applyFont="1" applyBorder="1"/>
    <xf numFmtId="41" fontId="13" fillId="0" borderId="4" xfId="2" applyNumberFormat="1" applyFont="1" applyFill="1" applyBorder="1"/>
    <xf numFmtId="41" fontId="14" fillId="0" borderId="4" xfId="0" applyNumberFormat="1" applyFont="1" applyBorder="1"/>
    <xf numFmtId="41" fontId="13" fillId="0" borderId="4" xfId="2" applyNumberFormat="1" applyFont="1" applyBorder="1" applyAlignment="1">
      <alignment horizontal="center"/>
    </xf>
    <xf numFmtId="0" fontId="15" fillId="0" borderId="4" xfId="0" applyFont="1" applyBorder="1"/>
    <xf numFmtId="41" fontId="13" fillId="0" borderId="4" xfId="2" applyNumberFormat="1" applyFont="1" applyBorder="1"/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41" fontId="13" fillId="0" borderId="4" xfId="0" applyNumberFormat="1" applyFont="1" applyBorder="1" applyAlignment="1">
      <alignment horizontal="center"/>
    </xf>
    <xf numFmtId="41" fontId="14" fillId="0" borderId="4" xfId="2" applyNumberFormat="1" applyFont="1" applyBorder="1" applyAlignment="1">
      <alignment horizontal="center"/>
    </xf>
    <xf numFmtId="41" fontId="15" fillId="0" borderId="4" xfId="2" applyNumberFormat="1" applyFont="1" applyBorder="1"/>
    <xf numFmtId="41" fontId="11" fillId="4" borderId="4" xfId="2" applyNumberFormat="1" applyFont="1" applyFill="1" applyBorder="1"/>
    <xf numFmtId="41" fontId="11" fillId="4" borderId="4" xfId="0" applyNumberFormat="1" applyFont="1" applyFill="1" applyBorder="1"/>
    <xf numFmtId="0" fontId="11" fillId="4" borderId="6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11" fillId="0" borderId="0" xfId="0" applyFont="1" applyBorder="1"/>
    <xf numFmtId="41" fontId="10" fillId="4" borderId="4" xfId="2" applyNumberFormat="1" applyFont="1" applyFill="1" applyBorder="1"/>
    <xf numFmtId="0" fontId="10" fillId="0" borderId="0" xfId="0" applyFont="1" applyBorder="1"/>
    <xf numFmtId="41" fontId="13" fillId="0" borderId="4" xfId="0" applyNumberFormat="1" applyFont="1" applyBorder="1"/>
    <xf numFmtId="41" fontId="10" fillId="4" borderId="4" xfId="0" applyNumberFormat="1" applyFont="1" applyFill="1" applyBorder="1"/>
    <xf numFmtId="41" fontId="11" fillId="4" borderId="4" xfId="2" applyNumberFormat="1" applyFont="1" applyFill="1" applyBorder="1" applyAlignment="1">
      <alignment horizontal="center"/>
    </xf>
    <xf numFmtId="0" fontId="16" fillId="0" borderId="4" xfId="0" applyFont="1" applyBorder="1"/>
    <xf numFmtId="41" fontId="17" fillId="4" borderId="4" xfId="2" applyNumberFormat="1" applyFont="1" applyFill="1" applyBorder="1"/>
    <xf numFmtId="41" fontId="11" fillId="0" borderId="4" xfId="2" applyNumberFormat="1" applyFont="1" applyFill="1" applyBorder="1"/>
    <xf numFmtId="0" fontId="11" fillId="0" borderId="4" xfId="0" applyFont="1" applyBorder="1"/>
    <xf numFmtId="41" fontId="11" fillId="0" borderId="4" xfId="2" applyNumberFormat="1" applyFont="1" applyBorder="1"/>
    <xf numFmtId="0" fontId="10" fillId="0" borderId="0" xfId="0" applyFont="1" applyBorder="1" applyAlignment="1"/>
    <xf numFmtId="0" fontId="19" fillId="0" borderId="0" xfId="0" applyFont="1" applyBorder="1"/>
    <xf numFmtId="0" fontId="7" fillId="0" borderId="0" xfId="0" applyFont="1" applyAlignment="1">
      <alignment horizontal="right"/>
    </xf>
    <xf numFmtId="164" fontId="6" fillId="0" borderId="0" xfId="1" applyNumberFormat="1" applyFont="1" applyAlignment="1">
      <alignment horizontal="left"/>
    </xf>
    <xf numFmtId="164" fontId="6" fillId="0" borderId="0" xfId="1" applyNumberFormat="1" applyFont="1"/>
    <xf numFmtId="0" fontId="20" fillId="0" borderId="0" xfId="0" applyFont="1"/>
    <xf numFmtId="0" fontId="6" fillId="0" borderId="0" xfId="0" applyFont="1" applyBorder="1"/>
    <xf numFmtId="0" fontId="21" fillId="0" borderId="0" xfId="0" applyFont="1" applyBorder="1" applyAlignment="1">
      <alignment horizontal="center"/>
    </xf>
    <xf numFmtId="0" fontId="14" fillId="0" borderId="0" xfId="0" applyFont="1"/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9" fillId="0" borderId="0" xfId="0" applyFont="1" applyBorder="1"/>
    <xf numFmtId="0" fontId="22" fillId="0" borderId="0" xfId="0" applyFont="1"/>
    <xf numFmtId="164" fontId="6" fillId="0" borderId="0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2" fillId="0" borderId="0" xfId="1" applyNumberFormat="1" applyFont="1" applyAlignment="1">
      <alignment horizontal="center"/>
    </xf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1" fillId="0" borderId="0" xfId="0" applyFo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8" fillId="4" borderId="0" xfId="3" applyFont="1" applyFill="1" applyAlignment="1">
      <alignment horizontal="center"/>
    </xf>
    <xf numFmtId="0" fontId="29" fillId="4" borderId="0" xfId="3" applyFont="1" applyFill="1" applyAlignment="1">
      <alignment horizontal="center"/>
    </xf>
    <xf numFmtId="0" fontId="30" fillId="0" borderId="0" xfId="3" applyFont="1"/>
    <xf numFmtId="0" fontId="31" fillId="3" borderId="8" xfId="4" applyFont="1" applyFill="1" applyBorder="1" applyAlignment="1">
      <alignment horizontal="center" vertical="center"/>
    </xf>
    <xf numFmtId="0" fontId="31" fillId="3" borderId="9" xfId="4" applyFont="1" applyFill="1" applyBorder="1" applyAlignment="1">
      <alignment horizontal="center" vertical="center"/>
    </xf>
    <xf numFmtId="0" fontId="31" fillId="3" borderId="10" xfId="4" applyFont="1" applyFill="1" applyBorder="1" applyAlignment="1">
      <alignment horizontal="center" vertical="center"/>
    </xf>
    <xf numFmtId="49" fontId="31" fillId="5" borderId="11" xfId="3" applyNumberFormat="1" applyFont="1" applyFill="1" applyBorder="1" applyAlignment="1">
      <alignment horizontal="center" vertical="center" wrapText="1"/>
    </xf>
    <xf numFmtId="49" fontId="31" fillId="5" borderId="12" xfId="3" applyNumberFormat="1" applyFont="1" applyFill="1" applyBorder="1" applyAlignment="1">
      <alignment horizontal="center" vertical="center" wrapText="1"/>
    </xf>
    <xf numFmtId="165" fontId="31" fillId="5" borderId="8" xfId="4" applyNumberFormat="1" applyFont="1" applyFill="1" applyBorder="1" applyAlignment="1">
      <alignment horizontal="center" vertical="center"/>
    </xf>
    <xf numFmtId="0" fontId="31" fillId="3" borderId="13" xfId="4" applyFont="1" applyFill="1" applyBorder="1" applyAlignment="1">
      <alignment horizontal="center" vertical="center"/>
    </xf>
    <xf numFmtId="0" fontId="31" fillId="3" borderId="14" xfId="4" applyFont="1" applyFill="1" applyBorder="1" applyAlignment="1">
      <alignment horizontal="center" vertical="center"/>
    </xf>
    <xf numFmtId="0" fontId="31" fillId="3" borderId="0" xfId="4" applyFont="1" applyFill="1" applyBorder="1" applyAlignment="1">
      <alignment horizontal="center" vertical="center"/>
    </xf>
    <xf numFmtId="165" fontId="31" fillId="5" borderId="5" xfId="4" applyNumberFormat="1" applyFont="1" applyFill="1" applyBorder="1" applyAlignment="1">
      <alignment horizontal="center" vertical="center"/>
    </xf>
    <xf numFmtId="165" fontId="31" fillId="5" borderId="7" xfId="4" applyNumberFormat="1" applyFont="1" applyFill="1" applyBorder="1" applyAlignment="1">
      <alignment horizontal="center" vertical="center"/>
    </xf>
    <xf numFmtId="165" fontId="31" fillId="5" borderId="13" xfId="4" applyNumberFormat="1" applyFont="1" applyFill="1" applyBorder="1" applyAlignment="1">
      <alignment horizontal="center" vertical="center"/>
    </xf>
    <xf numFmtId="0" fontId="31" fillId="3" borderId="3" xfId="4" applyFont="1" applyFill="1" applyBorder="1" applyAlignment="1">
      <alignment horizontal="center" vertical="center"/>
    </xf>
    <xf numFmtId="0" fontId="31" fillId="3" borderId="15" xfId="4" applyFont="1" applyFill="1" applyBorder="1" applyAlignment="1">
      <alignment horizontal="center" vertical="center"/>
    </xf>
    <xf numFmtId="0" fontId="31" fillId="3" borderId="1" xfId="4" applyFont="1" applyFill="1" applyBorder="1" applyAlignment="1">
      <alignment horizontal="center" vertical="center"/>
    </xf>
    <xf numFmtId="165" fontId="31" fillId="5" borderId="4" xfId="4" applyNumberFormat="1" applyFont="1" applyFill="1" applyBorder="1" applyAlignment="1">
      <alignment horizontal="center" vertical="center"/>
    </xf>
    <xf numFmtId="165" fontId="31" fillId="5" borderId="3" xfId="4" applyNumberFormat="1" applyFont="1" applyFill="1" applyBorder="1" applyAlignment="1">
      <alignment horizontal="center" vertical="center"/>
    </xf>
    <xf numFmtId="0" fontId="31" fillId="3" borderId="5" xfId="3" applyFont="1" applyFill="1" applyBorder="1" applyAlignment="1">
      <alignment horizontal="center" vertical="center"/>
    </xf>
    <xf numFmtId="0" fontId="31" fillId="3" borderId="6" xfId="3" applyFont="1" applyFill="1" applyBorder="1" applyAlignment="1">
      <alignment horizontal="center" vertical="center"/>
    </xf>
    <xf numFmtId="0" fontId="31" fillId="3" borderId="7" xfId="3" applyFont="1" applyFill="1" applyBorder="1" applyAlignment="1">
      <alignment horizontal="center" vertical="center"/>
    </xf>
    <xf numFmtId="41" fontId="33" fillId="0" borderId="4" xfId="5" applyNumberFormat="1" applyFont="1" applyBorder="1" applyAlignment="1">
      <alignment horizontal="center"/>
    </xf>
    <xf numFmtId="41" fontId="33" fillId="0" borderId="5" xfId="5" applyNumberFormat="1" applyFont="1" applyBorder="1" applyAlignment="1">
      <alignment horizontal="left"/>
    </xf>
    <xf numFmtId="41" fontId="31" fillId="6" borderId="4" xfId="5" applyNumberFormat="1" applyFont="1" applyFill="1" applyBorder="1" applyAlignment="1">
      <alignment horizontal="left"/>
    </xf>
    <xf numFmtId="41" fontId="31" fillId="0" borderId="4" xfId="5" applyFont="1" applyBorder="1" applyAlignment="1">
      <alignment horizontal="center"/>
    </xf>
    <xf numFmtId="41" fontId="31" fillId="3" borderId="5" xfId="5" applyNumberFormat="1" applyFont="1" applyFill="1" applyBorder="1" applyAlignment="1">
      <alignment horizontal="center" vertical="center"/>
    </xf>
    <xf numFmtId="41" fontId="31" fillId="3" borderId="6" xfId="5" applyNumberFormat="1" applyFont="1" applyFill="1" applyBorder="1" applyAlignment="1">
      <alignment horizontal="center" vertical="center"/>
    </xf>
    <xf numFmtId="41" fontId="31" fillId="5" borderId="4" xfId="5" applyNumberFormat="1" applyFont="1" applyFill="1" applyBorder="1" applyAlignment="1">
      <alignment horizontal="left"/>
    </xf>
    <xf numFmtId="41" fontId="31" fillId="5" borderId="4" xfId="5" applyFont="1" applyFill="1" applyBorder="1" applyAlignment="1">
      <alignment horizontal="center"/>
    </xf>
    <xf numFmtId="41" fontId="34" fillId="5" borderId="4" xfId="5" applyNumberFormat="1" applyFont="1" applyFill="1" applyBorder="1" applyAlignment="1">
      <alignment horizontal="left"/>
    </xf>
    <xf numFmtId="41" fontId="31" fillId="3" borderId="7" xfId="5" applyNumberFormat="1" applyFont="1" applyFill="1" applyBorder="1" applyAlignment="1">
      <alignment horizontal="center" vertical="center"/>
    </xf>
    <xf numFmtId="41" fontId="33" fillId="0" borderId="4" xfId="5" applyNumberFormat="1" applyFont="1" applyBorder="1" applyAlignment="1"/>
    <xf numFmtId="41" fontId="33" fillId="0" borderId="4" xfId="5" applyNumberFormat="1" applyFont="1" applyBorder="1" applyAlignment="1">
      <alignment vertical="center"/>
    </xf>
    <xf numFmtId="41" fontId="33" fillId="0" borderId="5" xfId="5" applyNumberFormat="1" applyFont="1" applyBorder="1" applyAlignment="1">
      <alignment horizontal="left" vertical="center"/>
    </xf>
    <xf numFmtId="41" fontId="31" fillId="0" borderId="4" xfId="5" applyNumberFormat="1" applyFont="1" applyBorder="1" applyAlignment="1">
      <alignment horizontal="left"/>
    </xf>
    <xf numFmtId="41" fontId="31" fillId="6" borderId="4" xfId="5" applyFont="1" applyFill="1" applyBorder="1" applyAlignment="1">
      <alignment horizontal="center"/>
    </xf>
    <xf numFmtId="41" fontId="33" fillId="0" borderId="4" xfId="5" applyNumberFormat="1" applyFont="1" applyBorder="1" applyAlignment="1">
      <alignment horizontal="left" vertical="center"/>
    </xf>
    <xf numFmtId="41" fontId="33" fillId="0" borderId="4" xfId="5" applyNumberFormat="1" applyFont="1" applyBorder="1" applyAlignment="1">
      <alignment horizontal="left"/>
    </xf>
    <xf numFmtId="41" fontId="33" fillId="0" borderId="5" xfId="5" applyNumberFormat="1" applyFont="1" applyFill="1" applyBorder="1" applyAlignment="1">
      <alignment horizontal="left" vertical="center"/>
    </xf>
    <xf numFmtId="41" fontId="33" fillId="0" borderId="16" xfId="5" applyNumberFormat="1" applyFont="1" applyFill="1" applyBorder="1" applyAlignment="1">
      <alignment horizontal="left" vertical="center"/>
    </xf>
    <xf numFmtId="41" fontId="31" fillId="3" borderId="1" xfId="5" applyNumberFormat="1" applyFont="1" applyFill="1" applyBorder="1" applyAlignment="1">
      <alignment horizontal="center" vertical="center"/>
    </xf>
    <xf numFmtId="41" fontId="33" fillId="4" borderId="4" xfId="5" applyNumberFormat="1" applyFont="1" applyFill="1" applyBorder="1" applyAlignment="1">
      <alignment horizontal="left" vertical="center"/>
    </xf>
    <xf numFmtId="41" fontId="33" fillId="0" borderId="4" xfId="5" applyNumberFormat="1" applyFont="1" applyFill="1" applyBorder="1" applyAlignment="1">
      <alignment horizontal="left" vertical="center"/>
    </xf>
    <xf numFmtId="41" fontId="31" fillId="3" borderId="5" xfId="3" applyNumberFormat="1" applyFont="1" applyFill="1" applyBorder="1" applyAlignment="1">
      <alignment horizontal="center" vertical="center"/>
    </xf>
    <xf numFmtId="41" fontId="31" fillId="3" borderId="6" xfId="3" applyNumberFormat="1" applyFont="1" applyFill="1" applyBorder="1" applyAlignment="1">
      <alignment horizontal="center" vertical="center"/>
    </xf>
    <xf numFmtId="41" fontId="31" fillId="3" borderId="7" xfId="3" applyNumberFormat="1" applyFont="1" applyFill="1" applyBorder="1" applyAlignment="1">
      <alignment horizontal="center" vertical="center"/>
    </xf>
    <xf numFmtId="41" fontId="33" fillId="6" borderId="4" xfId="5" applyNumberFormat="1" applyFont="1" applyFill="1" applyBorder="1" applyAlignment="1">
      <alignment horizontal="left" vertical="center"/>
    </xf>
    <xf numFmtId="41" fontId="33" fillId="0" borderId="5" xfId="5" applyNumberFormat="1" applyFont="1" applyFill="1" applyBorder="1" applyAlignment="1">
      <alignment horizontal="left"/>
    </xf>
    <xf numFmtId="41" fontId="33" fillId="0" borderId="16" xfId="5" applyNumberFormat="1" applyFont="1" applyFill="1" applyBorder="1" applyAlignment="1">
      <alignment horizontal="left"/>
    </xf>
    <xf numFmtId="41" fontId="31" fillId="3" borderId="4" xfId="5" applyNumberFormat="1" applyFont="1" applyFill="1" applyBorder="1" applyAlignment="1">
      <alignment horizontal="center" vertical="center"/>
    </xf>
    <xf numFmtId="41" fontId="33" fillId="0" borderId="17" xfId="3" applyNumberFormat="1" applyFont="1" applyFill="1" applyBorder="1" applyAlignment="1">
      <alignment horizontal="left"/>
    </xf>
    <xf numFmtId="41" fontId="31" fillId="4" borderId="2" xfId="5" applyNumberFormat="1" applyFont="1" applyFill="1" applyBorder="1" applyAlignment="1">
      <alignment horizontal="left"/>
    </xf>
    <xf numFmtId="41" fontId="33" fillId="0" borderId="17" xfId="3" applyNumberFormat="1" applyFont="1" applyFill="1" applyBorder="1" applyAlignment="1">
      <alignment horizontal="left" wrapText="1"/>
    </xf>
    <xf numFmtId="41" fontId="33" fillId="0" borderId="4" xfId="3" applyNumberFormat="1" applyFont="1" applyFill="1" applyBorder="1" applyAlignment="1">
      <alignment horizontal="left" wrapText="1"/>
    </xf>
    <xf numFmtId="41" fontId="31" fillId="3" borderId="18" xfId="5" applyNumberFormat="1" applyFont="1" applyFill="1" applyBorder="1" applyAlignment="1">
      <alignment horizontal="center"/>
    </xf>
    <xf numFmtId="41" fontId="31" fillId="3" borderId="19" xfId="5" applyNumberFormat="1" applyFont="1" applyFill="1" applyBorder="1" applyAlignment="1">
      <alignment horizontal="center"/>
    </xf>
    <xf numFmtId="41" fontId="31" fillId="3" borderId="20" xfId="5" applyNumberFormat="1" applyFont="1" applyFill="1" applyBorder="1" applyAlignment="1">
      <alignment horizontal="center"/>
    </xf>
    <xf numFmtId="41" fontId="31" fillId="5" borderId="21" xfId="5" applyNumberFormat="1" applyFont="1" applyFill="1" applyBorder="1" applyAlignment="1">
      <alignment horizontal="left"/>
    </xf>
    <xf numFmtId="41" fontId="31" fillId="3" borderId="22" xfId="5" applyNumberFormat="1" applyFont="1" applyFill="1" applyBorder="1" applyAlignment="1">
      <alignment horizontal="center" vertical="center"/>
    </xf>
    <xf numFmtId="41" fontId="31" fillId="3" borderId="23" xfId="5" applyNumberFormat="1" applyFont="1" applyFill="1" applyBorder="1" applyAlignment="1">
      <alignment horizontal="center" vertical="center"/>
    </xf>
    <xf numFmtId="41" fontId="31" fillId="5" borderId="24" xfId="5" applyNumberFormat="1" applyFont="1" applyFill="1" applyBorder="1" applyAlignment="1">
      <alignment horizontal="left"/>
    </xf>
    <xf numFmtId="0" fontId="33" fillId="0" borderId="0" xfId="0" applyFont="1"/>
    <xf numFmtId="0" fontId="33" fillId="4" borderId="0" xfId="0" applyFont="1" applyFill="1" applyBorder="1" applyAlignment="1"/>
    <xf numFmtId="0" fontId="31" fillId="0" borderId="0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7" borderId="2" xfId="0" applyFont="1" applyFill="1" applyBorder="1" applyAlignment="1">
      <alignment horizontal="center" vertical="center"/>
    </xf>
    <xf numFmtId="0" fontId="31" fillId="7" borderId="16" xfId="0" applyFont="1" applyFill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31" fillId="7" borderId="25" xfId="0" applyFont="1" applyFill="1" applyBorder="1" applyAlignment="1">
      <alignment horizontal="center" vertical="center"/>
    </xf>
    <xf numFmtId="0" fontId="31" fillId="7" borderId="4" xfId="0" applyFont="1" applyFill="1" applyBorder="1" applyAlignment="1">
      <alignment horizontal="center"/>
    </xf>
    <xf numFmtId="0" fontId="31" fillId="7" borderId="3" xfId="0" applyFont="1" applyFill="1" applyBorder="1" applyAlignment="1">
      <alignment horizontal="center" vertical="center"/>
    </xf>
    <xf numFmtId="0" fontId="31" fillId="7" borderId="15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/>
    </xf>
    <xf numFmtId="0" fontId="33" fillId="0" borderId="4" xfId="0" applyFont="1" applyBorder="1" applyAlignment="1">
      <alignment horizontal="center" vertical="center"/>
    </xf>
    <xf numFmtId="0" fontId="33" fillId="6" borderId="5" xfId="0" applyFont="1" applyFill="1" applyBorder="1" applyAlignment="1">
      <alignment horizontal="left"/>
    </xf>
    <xf numFmtId="0" fontId="33" fillId="0" borderId="6" xfId="0" applyFont="1" applyFill="1" applyBorder="1" applyAlignment="1">
      <alignment horizontal="left"/>
    </xf>
    <xf numFmtId="0" fontId="33" fillId="0" borderId="7" xfId="0" applyFont="1" applyFill="1" applyBorder="1" applyAlignment="1">
      <alignment horizontal="left"/>
    </xf>
    <xf numFmtId="166" fontId="31" fillId="0" borderId="4" xfId="5" applyNumberFormat="1" applyFont="1" applyBorder="1" applyAlignment="1"/>
    <xf numFmtId="0" fontId="33" fillId="0" borderId="0" xfId="0" applyFont="1" applyAlignment="1">
      <alignment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166" fontId="31" fillId="3" borderId="4" xfId="5" applyNumberFormat="1" applyFont="1" applyFill="1" applyBorder="1" applyAlignment="1">
      <alignment vertical="center"/>
    </xf>
    <xf numFmtId="166" fontId="31" fillId="0" borderId="4" xfId="0" applyNumberFormat="1" applyFont="1" applyBorder="1" applyAlignment="1">
      <alignment horizontal="center"/>
    </xf>
    <xf numFmtId="0" fontId="33" fillId="0" borderId="15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33" fillId="6" borderId="15" xfId="0" applyFont="1" applyFill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/>
    <xf numFmtId="0" fontId="31" fillId="0" borderId="0" xfId="0" applyFont="1"/>
    <xf numFmtId="0" fontId="33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1" fillId="0" borderId="0" xfId="0" applyFont="1" applyBorder="1" applyAlignment="1"/>
    <xf numFmtId="41" fontId="33" fillId="0" borderId="4" xfId="5" applyNumberFormat="1" applyFont="1" applyBorder="1" applyAlignment="1">
      <alignment horizontal="left" vertical="center" wrapText="1"/>
    </xf>
    <xf numFmtId="41" fontId="31" fillId="6" borderId="4" xfId="5" applyNumberFormat="1" applyFont="1" applyFill="1" applyBorder="1" applyAlignment="1">
      <alignment horizontal="left" wrapText="1"/>
    </xf>
    <xf numFmtId="41" fontId="31" fillId="0" borderId="4" xfId="5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33" fillId="0" borderId="5" xfId="0" applyFont="1" applyBorder="1" applyAlignment="1">
      <alignment horizontal="left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0" fillId="0" borderId="0" xfId="0" applyFont="1"/>
    <xf numFmtId="41" fontId="33" fillId="0" borderId="17" xfId="5" applyNumberFormat="1" applyFont="1" applyBorder="1" applyAlignment="1">
      <alignment horizontal="left"/>
    </xf>
    <xf numFmtId="0" fontId="33" fillId="6" borderId="6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33" fillId="6" borderId="1" xfId="0" applyFont="1" applyFill="1" applyBorder="1" applyAlignment="1">
      <alignment horizontal="left"/>
    </xf>
    <xf numFmtId="0" fontId="33" fillId="6" borderId="1" xfId="0" applyFont="1" applyFill="1" applyBorder="1" applyAlignment="1">
      <alignment horizontal="left" vertic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0" xfId="0" applyAlignment="1"/>
    <xf numFmtId="49" fontId="34" fillId="5" borderId="11" xfId="3" applyNumberFormat="1" applyFont="1" applyFill="1" applyBorder="1" applyAlignment="1">
      <alignment horizontal="center" vertical="center" wrapText="1"/>
    </xf>
    <xf numFmtId="49" fontId="34" fillId="5" borderId="12" xfId="3" applyNumberFormat="1" applyFont="1" applyFill="1" applyBorder="1" applyAlignment="1">
      <alignment horizontal="center" vertical="center" wrapText="1"/>
    </xf>
    <xf numFmtId="165" fontId="34" fillId="5" borderId="8" xfId="4" applyNumberFormat="1" applyFont="1" applyFill="1" applyBorder="1" applyAlignment="1">
      <alignment horizontal="center" vertical="center"/>
    </xf>
    <xf numFmtId="165" fontId="34" fillId="5" borderId="5" xfId="4" applyNumberFormat="1" applyFont="1" applyFill="1" applyBorder="1" applyAlignment="1">
      <alignment horizontal="center" vertical="center"/>
    </xf>
    <xf numFmtId="165" fontId="34" fillId="5" borderId="7" xfId="4" applyNumberFormat="1" applyFont="1" applyFill="1" applyBorder="1" applyAlignment="1">
      <alignment horizontal="center" vertical="center"/>
    </xf>
    <xf numFmtId="165" fontId="34" fillId="5" borderId="13" xfId="4" applyNumberFormat="1" applyFont="1" applyFill="1" applyBorder="1" applyAlignment="1">
      <alignment horizontal="center" vertical="center"/>
    </xf>
    <xf numFmtId="165" fontId="34" fillId="5" borderId="4" xfId="4" applyNumberFormat="1" applyFont="1" applyFill="1" applyBorder="1" applyAlignment="1">
      <alignment horizontal="center" vertical="center"/>
    </xf>
    <xf numFmtId="165" fontId="34" fillId="5" borderId="3" xfId="4" applyNumberFormat="1" applyFont="1" applyFill="1" applyBorder="1" applyAlignment="1">
      <alignment horizontal="center" vertical="center"/>
    </xf>
    <xf numFmtId="41" fontId="34" fillId="6" borderId="4" xfId="5" applyNumberFormat="1" applyFont="1" applyFill="1" applyBorder="1" applyAlignment="1">
      <alignment horizontal="left"/>
    </xf>
    <xf numFmtId="41" fontId="33" fillId="0" borderId="4" xfId="3" applyNumberFormat="1" applyFont="1" applyFill="1" applyBorder="1" applyAlignment="1">
      <alignment horizontal="left"/>
    </xf>
    <xf numFmtId="0" fontId="33" fillId="6" borderId="4" xfId="0" applyFont="1" applyFill="1" applyBorder="1" applyAlignment="1">
      <alignment horizontal="center" vertical="center"/>
    </xf>
    <xf numFmtId="0" fontId="33" fillId="6" borderId="5" xfId="0" applyFont="1" applyFill="1" applyBorder="1" applyAlignment="1">
      <alignment horizontal="left" vertical="center"/>
    </xf>
    <xf numFmtId="0" fontId="33" fillId="6" borderId="6" xfId="0" applyFont="1" applyFill="1" applyBorder="1" applyAlignment="1">
      <alignment horizontal="left" vertical="center"/>
    </xf>
    <xf numFmtId="0" fontId="31" fillId="3" borderId="15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26" xfId="0" applyFont="1" applyFill="1" applyBorder="1" applyAlignment="1">
      <alignment horizontal="center" vertical="center"/>
    </xf>
    <xf numFmtId="166" fontId="31" fillId="5" borderId="4" xfId="5" applyNumberFormat="1" applyFont="1" applyFill="1" applyBorder="1" applyAlignment="1">
      <alignment vertical="center"/>
    </xf>
    <xf numFmtId="41" fontId="33" fillId="0" borderId="4" xfId="5" applyNumberFormat="1" applyFont="1" applyBorder="1" applyAlignment="1">
      <alignment horizontal="left" wrapText="1"/>
    </xf>
    <xf numFmtId="41" fontId="33" fillId="0" borderId="17" xfId="5" applyNumberFormat="1" applyFont="1" applyBorder="1" applyAlignment="1">
      <alignment horizontal="left" wrapText="1"/>
    </xf>
    <xf numFmtId="0" fontId="40" fillId="0" borderId="0" xfId="0" applyFont="1"/>
    <xf numFmtId="0" fontId="29" fillId="4" borderId="0" xfId="3" applyFont="1" applyFill="1" applyAlignment="1">
      <alignment horizontal="center"/>
    </xf>
    <xf numFmtId="0" fontId="31" fillId="3" borderId="5" xfId="4" applyFont="1" applyFill="1" applyBorder="1" applyAlignment="1">
      <alignment horizontal="center" vertical="center"/>
    </xf>
    <xf numFmtId="0" fontId="31" fillId="3" borderId="6" xfId="4" applyFont="1" applyFill="1" applyBorder="1" applyAlignment="1">
      <alignment horizontal="center" vertical="center"/>
    </xf>
    <xf numFmtId="0" fontId="31" fillId="3" borderId="7" xfId="4" applyFont="1" applyFill="1" applyBorder="1" applyAlignment="1">
      <alignment horizontal="center" vertical="center"/>
    </xf>
    <xf numFmtId="0" fontId="33" fillId="0" borderId="4" xfId="4" applyFont="1" applyFill="1" applyBorder="1" applyAlignment="1">
      <alignment horizontal="center" vertical="center"/>
    </xf>
    <xf numFmtId="0" fontId="33" fillId="0" borderId="4" xfId="4" applyFont="1" applyFill="1" applyBorder="1" applyAlignment="1">
      <alignment horizontal="left" vertical="center"/>
    </xf>
    <xf numFmtId="41" fontId="31" fillId="0" borderId="4" xfId="4" applyNumberFormat="1" applyFont="1" applyFill="1" applyBorder="1" applyAlignment="1">
      <alignment horizontal="center" vertical="center"/>
    </xf>
    <xf numFmtId="0" fontId="31" fillId="0" borderId="4" xfId="4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166" fontId="31" fillId="0" borderId="7" xfId="5" applyNumberFormat="1" applyFont="1" applyBorder="1" applyAlignment="1"/>
    <xf numFmtId="0" fontId="33" fillId="0" borderId="15" xfId="0" applyFont="1" applyFill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41" fillId="0" borderId="0" xfId="0" applyFont="1"/>
    <xf numFmtId="0" fontId="42" fillId="0" borderId="0" xfId="0" applyFont="1" applyAlignment="1">
      <alignment horizontal="center"/>
    </xf>
    <xf numFmtId="0" fontId="43" fillId="0" borderId="0" xfId="0" applyFont="1"/>
    <xf numFmtId="0" fontId="44" fillId="0" borderId="0" xfId="0" applyFont="1"/>
    <xf numFmtId="41" fontId="31" fillId="0" borderId="4" xfId="5" applyNumberFormat="1" applyFont="1" applyFill="1" applyBorder="1" applyAlignment="1">
      <alignment horizontal="left"/>
    </xf>
    <xf numFmtId="41" fontId="31" fillId="0" borderId="4" xfId="5" applyFont="1" applyFill="1" applyBorder="1" applyAlignment="1">
      <alignment horizontal="center"/>
    </xf>
    <xf numFmtId="41" fontId="34" fillId="0" borderId="4" xfId="5" applyNumberFormat="1" applyFont="1" applyFill="1" applyBorder="1" applyAlignment="1">
      <alignment horizontal="left"/>
    </xf>
    <xf numFmtId="41" fontId="33" fillId="0" borderId="16" xfId="5" applyNumberFormat="1" applyFont="1" applyBorder="1" applyAlignment="1">
      <alignment horizontal="left" vertical="center"/>
    </xf>
    <xf numFmtId="41" fontId="45" fillId="0" borderId="4" xfId="5" applyNumberFormat="1" applyFont="1" applyBorder="1" applyAlignment="1">
      <alignment horizontal="left" vertical="center"/>
    </xf>
    <xf numFmtId="41" fontId="34" fillId="0" borderId="4" xfId="0" applyNumberFormat="1" applyFont="1" applyFill="1" applyBorder="1"/>
    <xf numFmtId="41" fontId="45" fillId="0" borderId="4" xfId="5" applyNumberFormat="1" applyFont="1" applyFill="1" applyBorder="1" applyAlignment="1">
      <alignment horizontal="left" vertical="center"/>
    </xf>
    <xf numFmtId="41" fontId="45" fillId="0" borderId="4" xfId="5" applyNumberFormat="1" applyFont="1" applyBorder="1" applyAlignment="1">
      <alignment horizontal="left"/>
    </xf>
    <xf numFmtId="0" fontId="33" fillId="0" borderId="1" xfId="0" applyFont="1" applyFill="1" applyBorder="1" applyAlignment="1">
      <alignment horizontal="left" vertical="center"/>
    </xf>
    <xf numFmtId="166" fontId="31" fillId="0" borderId="7" xfId="5" applyNumberFormat="1" applyFont="1" applyFill="1" applyBorder="1" applyAlignment="1"/>
    <xf numFmtId="166" fontId="31" fillId="0" borderId="4" xfId="0" applyNumberFormat="1" applyFont="1" applyFill="1" applyBorder="1" applyAlignment="1">
      <alignment horizontal="center"/>
    </xf>
    <xf numFmtId="0" fontId="46" fillId="0" borderId="15" xfId="0" applyFont="1" applyFill="1" applyBorder="1"/>
    <xf numFmtId="0" fontId="0" fillId="0" borderId="1" xfId="0" applyBorder="1"/>
    <xf numFmtId="0" fontId="38" fillId="0" borderId="0" xfId="0" applyFont="1" applyAlignment="1">
      <alignment horizontal="center"/>
    </xf>
    <xf numFmtId="0" fontId="31" fillId="0" borderId="0" xfId="0" applyFont="1" applyAlignment="1"/>
    <xf numFmtId="41" fontId="31" fillId="0" borderId="4" xfId="5" applyNumberFormat="1" applyFont="1" applyFill="1" applyBorder="1" applyAlignment="1">
      <alignment horizontal="left" wrapText="1"/>
    </xf>
    <xf numFmtId="41" fontId="31" fillId="3" borderId="18" xfId="5" applyNumberFormat="1" applyFont="1" applyFill="1" applyBorder="1" applyAlignment="1">
      <alignment horizontal="center" wrapText="1"/>
    </xf>
    <xf numFmtId="41" fontId="31" fillId="3" borderId="19" xfId="5" applyNumberFormat="1" applyFont="1" applyFill="1" applyBorder="1" applyAlignment="1">
      <alignment horizontal="center" wrapText="1"/>
    </xf>
    <xf numFmtId="41" fontId="31" fillId="3" borderId="20" xfId="5" applyNumberFormat="1" applyFont="1" applyFill="1" applyBorder="1" applyAlignment="1">
      <alignment horizontal="center" wrapText="1"/>
    </xf>
    <xf numFmtId="41" fontId="31" fillId="5" borderId="21" xfId="5" applyNumberFormat="1" applyFont="1" applyFill="1" applyBorder="1" applyAlignment="1">
      <alignment horizontal="left" wrapText="1"/>
    </xf>
    <xf numFmtId="41" fontId="31" fillId="3" borderId="5" xfId="5" applyNumberFormat="1" applyFont="1" applyFill="1" applyBorder="1" applyAlignment="1">
      <alignment horizontal="center" vertical="center" wrapText="1"/>
    </xf>
    <xf numFmtId="41" fontId="31" fillId="3" borderId="6" xfId="5" applyNumberFormat="1" applyFont="1" applyFill="1" applyBorder="1" applyAlignment="1">
      <alignment horizontal="center" vertical="center" wrapText="1"/>
    </xf>
    <xf numFmtId="41" fontId="31" fillId="3" borderId="7" xfId="5" applyNumberFormat="1" applyFont="1" applyFill="1" applyBorder="1" applyAlignment="1">
      <alignment horizontal="center" vertical="center" wrapText="1"/>
    </xf>
    <xf numFmtId="41" fontId="33" fillId="0" borderId="16" xfId="5" applyNumberFormat="1" applyFont="1" applyBorder="1" applyAlignment="1">
      <alignment horizontal="left" vertical="center" wrapText="1"/>
    </xf>
    <xf numFmtId="41" fontId="45" fillId="0" borderId="4" xfId="5" applyNumberFormat="1" applyFont="1" applyBorder="1" applyAlignment="1">
      <alignment horizontal="left" vertical="center" wrapText="1"/>
    </xf>
    <xf numFmtId="41" fontId="34" fillId="0" borderId="4" xfId="0" applyNumberFormat="1" applyFont="1" applyFill="1" applyBorder="1" applyAlignment="1">
      <alignment wrapText="1"/>
    </xf>
    <xf numFmtId="41" fontId="45" fillId="0" borderId="4" xfId="5" applyNumberFormat="1" applyFont="1" applyFill="1" applyBorder="1" applyAlignment="1">
      <alignment horizontal="left" vertical="center" wrapText="1"/>
    </xf>
    <xf numFmtId="41" fontId="45" fillId="0" borderId="4" xfId="5" applyNumberFormat="1" applyFont="1" applyBorder="1" applyAlignment="1">
      <alignment horizontal="left" wrapText="1"/>
    </xf>
    <xf numFmtId="41" fontId="14" fillId="0" borderId="4" xfId="2" applyNumberFormat="1" applyFont="1" applyFill="1" applyBorder="1"/>
    <xf numFmtId="41" fontId="13" fillId="0" borderId="4" xfId="2" applyFont="1" applyFill="1" applyBorder="1"/>
    <xf numFmtId="41" fontId="14" fillId="0" borderId="4" xfId="0" applyNumberFormat="1" applyFont="1" applyFill="1" applyBorder="1"/>
    <xf numFmtId="41" fontId="13" fillId="0" borderId="4" xfId="2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41" fontId="13" fillId="0" borderId="4" xfId="0" applyNumberFormat="1" applyFont="1" applyFill="1" applyBorder="1" applyAlignment="1">
      <alignment horizontal="center"/>
    </xf>
    <xf numFmtId="41" fontId="14" fillId="0" borderId="4" xfId="2" applyNumberFormat="1" applyFont="1" applyFill="1" applyBorder="1" applyAlignment="1">
      <alignment horizontal="center"/>
    </xf>
    <xf numFmtId="41" fontId="15" fillId="0" borderId="4" xfId="2" applyNumberFormat="1" applyFont="1" applyFill="1" applyBorder="1"/>
    <xf numFmtId="41" fontId="11" fillId="0" borderId="4" xfId="0" applyNumberFormat="1" applyFont="1" applyFill="1" applyBorder="1"/>
    <xf numFmtId="0" fontId="11" fillId="0" borderId="6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41" fontId="10" fillId="0" borderId="4" xfId="2" applyNumberFormat="1" applyFont="1" applyFill="1" applyBorder="1"/>
    <xf numFmtId="41" fontId="13" fillId="0" borderId="4" xfId="0" applyNumberFormat="1" applyFont="1" applyFill="1" applyBorder="1"/>
    <xf numFmtId="41" fontId="10" fillId="0" borderId="4" xfId="0" applyNumberFormat="1" applyFont="1" applyFill="1" applyBorder="1"/>
    <xf numFmtId="41" fontId="11" fillId="0" borderId="4" xfId="2" applyNumberFormat="1" applyFont="1" applyFill="1" applyBorder="1" applyAlignment="1">
      <alignment horizontal="center"/>
    </xf>
    <xf numFmtId="41" fontId="17" fillId="0" borderId="4" xfId="2" applyNumberFormat="1" applyFont="1" applyFill="1" applyBorder="1"/>
    <xf numFmtId="0" fontId="47" fillId="0" borderId="0" xfId="0" applyFont="1" applyBorder="1" applyAlignment="1"/>
    <xf numFmtId="0" fontId="48" fillId="0" borderId="0" xfId="0" applyFont="1" applyAlignment="1">
      <alignment horizontal="left"/>
    </xf>
    <xf numFmtId="41" fontId="31" fillId="6" borderId="2" xfId="5" applyNumberFormat="1" applyFont="1" applyFill="1" applyBorder="1" applyAlignment="1">
      <alignment horizontal="left"/>
    </xf>
    <xf numFmtId="41" fontId="31" fillId="0" borderId="2" xfId="5" applyNumberFormat="1" applyFont="1" applyBorder="1" applyAlignment="1">
      <alignment horizontal="left"/>
    </xf>
    <xf numFmtId="41" fontId="33" fillId="0" borderId="25" xfId="3" applyNumberFormat="1" applyFont="1" applyFill="1" applyBorder="1" applyAlignment="1">
      <alignment horizontal="left"/>
    </xf>
    <xf numFmtId="0" fontId="0" fillId="0" borderId="4" xfId="0" applyBorder="1"/>
    <xf numFmtId="165" fontId="34" fillId="0" borderId="4" xfId="0" applyNumberFormat="1" applyFont="1" applyFill="1" applyBorder="1"/>
    <xf numFmtId="41" fontId="45" fillId="0" borderId="25" xfId="5" applyNumberFormat="1" applyFont="1" applyFill="1" applyBorder="1" applyAlignment="1">
      <alignment horizontal="left" vertical="center"/>
    </xf>
    <xf numFmtId="165" fontId="34" fillId="0" borderId="2" xfId="0" applyNumberFormat="1" applyFont="1" applyFill="1" applyBorder="1"/>
    <xf numFmtId="41" fontId="34" fillId="0" borderId="2" xfId="0" applyNumberFormat="1" applyFont="1" applyFill="1" applyBorder="1"/>
    <xf numFmtId="41" fontId="31" fillId="0" borderId="0" xfId="5" applyNumberFormat="1" applyFont="1" applyFill="1" applyBorder="1" applyAlignment="1">
      <alignment horizontal="center" vertical="center"/>
    </xf>
    <xf numFmtId="41" fontId="31" fillId="0" borderId="0" xfId="5" applyNumberFormat="1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64" fontId="12" fillId="3" borderId="3" xfId="1" applyNumberFormat="1" applyFont="1" applyFill="1" applyBorder="1" applyAlignment="1">
      <alignment horizontal="center" vertical="center"/>
    </xf>
    <xf numFmtId="41" fontId="33" fillId="0" borderId="4" xfId="5" applyNumberFormat="1" applyFont="1" applyFill="1" applyBorder="1" applyAlignment="1">
      <alignment horizontal="left"/>
    </xf>
    <xf numFmtId="41" fontId="31" fillId="3" borderId="11" xfId="5" applyNumberFormat="1" applyFont="1" applyFill="1" applyBorder="1" applyAlignment="1">
      <alignment horizontal="center" vertical="center"/>
    </xf>
    <xf numFmtId="41" fontId="31" fillId="3" borderId="28" xfId="5" applyNumberFormat="1" applyFont="1" applyFill="1" applyBorder="1" applyAlignment="1">
      <alignment horizontal="center" vertical="center"/>
    </xf>
    <xf numFmtId="41" fontId="31" fillId="3" borderId="12" xfId="5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66" fontId="31" fillId="0" borderId="0" xfId="5" applyNumberFormat="1" applyFont="1" applyFill="1" applyBorder="1" applyAlignment="1">
      <alignment vertical="center"/>
    </xf>
    <xf numFmtId="0" fontId="0" fillId="0" borderId="0" xfId="0" applyFill="1"/>
    <xf numFmtId="41" fontId="7" fillId="0" borderId="0" xfId="0" applyNumberFormat="1" applyFont="1"/>
    <xf numFmtId="41" fontId="6" fillId="0" borderId="0" xfId="1" applyNumberFormat="1" applyFont="1"/>
    <xf numFmtId="0" fontId="33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41" fontId="31" fillId="6" borderId="2" xfId="5" applyNumberFormat="1" applyFont="1" applyFill="1" applyBorder="1" applyAlignment="1">
      <alignment horizontal="left" wrapText="1"/>
    </xf>
    <xf numFmtId="41" fontId="31" fillId="4" borderId="2" xfId="5" applyNumberFormat="1" applyFont="1" applyFill="1" applyBorder="1" applyAlignment="1">
      <alignment horizontal="left" wrapText="1"/>
    </xf>
    <xf numFmtId="41" fontId="33" fillId="0" borderId="25" xfId="3" applyNumberFormat="1" applyFont="1" applyFill="1" applyBorder="1" applyAlignment="1">
      <alignment horizontal="left" wrapText="1"/>
    </xf>
    <xf numFmtId="41" fontId="31" fillId="0" borderId="2" xfId="5" applyNumberFormat="1" applyFont="1" applyBorder="1" applyAlignment="1">
      <alignment horizontal="left" wrapText="1"/>
    </xf>
  </cellXfs>
  <cellStyles count="6">
    <cellStyle name="Accent2 2" xfId="4"/>
    <cellStyle name="Comma" xfId="1" builtinId="3"/>
    <cellStyle name="Comma [0]" xfId="2" builtinId="6"/>
    <cellStyle name="Comma [0] 2 2" xfId="5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5</xdr:col>
      <xdr:colOff>1247775</xdr:colOff>
      <xdr:row>5</xdr:row>
      <xdr:rowOff>66675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1657350"/>
          <a:ext cx="6972300" cy="476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0</xdr:row>
      <xdr:rowOff>85725</xdr:rowOff>
    </xdr:from>
    <xdr:to>
      <xdr:col>2</xdr:col>
      <xdr:colOff>85725</xdr:colOff>
      <xdr:row>2</xdr:row>
      <xdr:rowOff>333375</xdr:rowOff>
    </xdr:to>
    <xdr:pic>
      <xdr:nvPicPr>
        <xdr:cNvPr id="3" name="Picture 8" descr="GarudaBaz keci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85725"/>
          <a:ext cx="8096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2</xdr:col>
      <xdr:colOff>66675</xdr:colOff>
      <xdr:row>2</xdr:row>
      <xdr:rowOff>266700</xdr:rowOff>
    </xdr:to>
    <xdr:pic>
      <xdr:nvPicPr>
        <xdr:cNvPr id="2" name="Picture 1" descr="GarudaBaz keci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57150"/>
          <a:ext cx="6667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2</xdr:col>
      <xdr:colOff>123825</xdr:colOff>
      <xdr:row>2</xdr:row>
      <xdr:rowOff>333375</xdr:rowOff>
    </xdr:to>
    <xdr:pic>
      <xdr:nvPicPr>
        <xdr:cNvPr id="2" name="Picture 1" descr="GarudaBaz keci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6675"/>
          <a:ext cx="7620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57150</xdr:rowOff>
    </xdr:from>
    <xdr:to>
      <xdr:col>2</xdr:col>
      <xdr:colOff>133350</xdr:colOff>
      <xdr:row>2</xdr:row>
      <xdr:rowOff>342900</xdr:rowOff>
    </xdr:to>
    <xdr:pic>
      <xdr:nvPicPr>
        <xdr:cNvPr id="2" name="Picture 1" descr="GarudaBaz keci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57150"/>
          <a:ext cx="7524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9525</xdr:rowOff>
    </xdr:from>
    <xdr:to>
      <xdr:col>5</xdr:col>
      <xdr:colOff>1247775</xdr:colOff>
      <xdr:row>5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7625" y="1647825"/>
          <a:ext cx="7048500" cy="476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5</xdr:row>
      <xdr:rowOff>9525</xdr:rowOff>
    </xdr:from>
    <xdr:to>
      <xdr:col>5</xdr:col>
      <xdr:colOff>1238250</xdr:colOff>
      <xdr:row>5</xdr:row>
      <xdr:rowOff>57150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57150" y="1647825"/>
          <a:ext cx="7029450" cy="476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19050</xdr:rowOff>
    </xdr:from>
    <xdr:to>
      <xdr:col>5</xdr:col>
      <xdr:colOff>1247775</xdr:colOff>
      <xdr:row>5</xdr:row>
      <xdr:rowOff>66675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0" y="1657350"/>
          <a:ext cx="7096125" cy="476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104775</xdr:colOff>
      <xdr:row>2</xdr:row>
      <xdr:rowOff>285750</xdr:rowOff>
    </xdr:to>
    <xdr:pic>
      <xdr:nvPicPr>
        <xdr:cNvPr id="5" name="Picture 4" descr="GarudaBaz keci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150"/>
          <a:ext cx="8001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</xdr:row>
      <xdr:rowOff>19050</xdr:rowOff>
    </xdr:from>
    <xdr:to>
      <xdr:col>5</xdr:col>
      <xdr:colOff>1247775</xdr:colOff>
      <xdr:row>5</xdr:row>
      <xdr:rowOff>66675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V="1">
          <a:off x="0" y="1657350"/>
          <a:ext cx="7096125" cy="476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9525</xdr:rowOff>
    </xdr:from>
    <xdr:to>
      <xdr:col>5</xdr:col>
      <xdr:colOff>1247775</xdr:colOff>
      <xdr:row>5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7625" y="1647825"/>
          <a:ext cx="6781800" cy="476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142875</xdr:colOff>
      <xdr:row>0</xdr:row>
      <xdr:rowOff>66675</xdr:rowOff>
    </xdr:from>
    <xdr:to>
      <xdr:col>2</xdr:col>
      <xdr:colOff>219075</xdr:colOff>
      <xdr:row>2</xdr:row>
      <xdr:rowOff>390525</xdr:rowOff>
    </xdr:to>
    <xdr:pic>
      <xdr:nvPicPr>
        <xdr:cNvPr id="3" name="Picture 9" descr="GarudaBaz keci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66675"/>
          <a:ext cx="7905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5</xdr:row>
      <xdr:rowOff>9525</xdr:rowOff>
    </xdr:from>
    <xdr:to>
      <xdr:col>5</xdr:col>
      <xdr:colOff>1238250</xdr:colOff>
      <xdr:row>5</xdr:row>
      <xdr:rowOff>57150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57150" y="1647825"/>
          <a:ext cx="6762750" cy="476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19050</xdr:rowOff>
    </xdr:from>
    <xdr:to>
      <xdr:col>5</xdr:col>
      <xdr:colOff>1247775</xdr:colOff>
      <xdr:row>5</xdr:row>
      <xdr:rowOff>66675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V="1">
          <a:off x="0" y="1657350"/>
          <a:ext cx="6829425" cy="476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19050</xdr:rowOff>
    </xdr:from>
    <xdr:to>
      <xdr:col>5</xdr:col>
      <xdr:colOff>1247775</xdr:colOff>
      <xdr:row>5</xdr:row>
      <xdr:rowOff>66675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V="1">
          <a:off x="0" y="1657350"/>
          <a:ext cx="6829425" cy="476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9525</xdr:rowOff>
    </xdr:from>
    <xdr:to>
      <xdr:col>2</xdr:col>
      <xdr:colOff>200025</xdr:colOff>
      <xdr:row>3</xdr:row>
      <xdr:rowOff>38100</xdr:rowOff>
    </xdr:to>
    <xdr:pic>
      <xdr:nvPicPr>
        <xdr:cNvPr id="2" name="Picture 27" descr="GarudaBaz keci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9525"/>
          <a:ext cx="8382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5</xdr:row>
      <xdr:rowOff>9525</xdr:rowOff>
    </xdr:from>
    <xdr:to>
      <xdr:col>5</xdr:col>
      <xdr:colOff>1238250</xdr:colOff>
      <xdr:row>5</xdr:row>
      <xdr:rowOff>57150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57150" y="1647825"/>
          <a:ext cx="6553200" cy="476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19050</xdr:rowOff>
    </xdr:from>
    <xdr:to>
      <xdr:col>6</xdr:col>
      <xdr:colOff>0</xdr:colOff>
      <xdr:row>5</xdr:row>
      <xdr:rowOff>66675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0" y="1657350"/>
          <a:ext cx="6610350" cy="476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5</xdr:col>
      <xdr:colOff>1038225</xdr:colOff>
      <xdr:row>5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1647825"/>
          <a:ext cx="6553200" cy="476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5</xdr:row>
      <xdr:rowOff>9525</xdr:rowOff>
    </xdr:from>
    <xdr:to>
      <xdr:col>5</xdr:col>
      <xdr:colOff>1247775</xdr:colOff>
      <xdr:row>5</xdr:row>
      <xdr:rowOff>57150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7625" y="1647825"/>
          <a:ext cx="6715125" cy="476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133350</xdr:colOff>
      <xdr:row>2</xdr:row>
      <xdr:rowOff>400050</xdr:rowOff>
    </xdr:to>
    <xdr:pic>
      <xdr:nvPicPr>
        <xdr:cNvPr id="4" name="Picture 55" descr="GarudaBaz keci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0"/>
          <a:ext cx="8477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5</xdr:row>
      <xdr:rowOff>9525</xdr:rowOff>
    </xdr:from>
    <xdr:to>
      <xdr:col>5</xdr:col>
      <xdr:colOff>1247775</xdr:colOff>
      <xdr:row>5</xdr:row>
      <xdr:rowOff>57150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7625" y="1647825"/>
          <a:ext cx="6715125" cy="476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5</xdr:row>
      <xdr:rowOff>9525</xdr:rowOff>
    </xdr:from>
    <xdr:to>
      <xdr:col>5</xdr:col>
      <xdr:colOff>1238250</xdr:colOff>
      <xdr:row>5</xdr:row>
      <xdr:rowOff>57150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V="1">
          <a:off x="57150" y="1647825"/>
          <a:ext cx="6696075" cy="476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19050</xdr:rowOff>
    </xdr:from>
    <xdr:to>
      <xdr:col>5</xdr:col>
      <xdr:colOff>1247775</xdr:colOff>
      <xdr:row>5</xdr:row>
      <xdr:rowOff>66675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 flipV="1">
          <a:off x="0" y="1657350"/>
          <a:ext cx="6762750" cy="476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19050</xdr:rowOff>
    </xdr:from>
    <xdr:to>
      <xdr:col>5</xdr:col>
      <xdr:colOff>1247775</xdr:colOff>
      <xdr:row>5</xdr:row>
      <xdr:rowOff>66675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V="1">
          <a:off x="0" y="1657350"/>
          <a:ext cx="6762750" cy="476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2</xdr:col>
      <xdr:colOff>161925</xdr:colOff>
      <xdr:row>2</xdr:row>
      <xdr:rowOff>295275</xdr:rowOff>
    </xdr:to>
    <xdr:pic>
      <xdr:nvPicPr>
        <xdr:cNvPr id="2" name="Picture 1" descr="GarudaBaz keci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76200"/>
          <a:ext cx="7715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85725</xdr:rowOff>
    </xdr:from>
    <xdr:to>
      <xdr:col>2</xdr:col>
      <xdr:colOff>38100</xdr:colOff>
      <xdr:row>2</xdr:row>
      <xdr:rowOff>304800</xdr:rowOff>
    </xdr:to>
    <xdr:pic>
      <xdr:nvPicPr>
        <xdr:cNvPr id="2" name="Picture 1" descr="GarudaBaz keci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85725"/>
          <a:ext cx="7715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2</xdr:col>
      <xdr:colOff>161925</xdr:colOff>
      <xdr:row>2</xdr:row>
      <xdr:rowOff>295275</xdr:rowOff>
    </xdr:to>
    <xdr:pic>
      <xdr:nvPicPr>
        <xdr:cNvPr id="2" name="Picture 1" descr="GarudaBaz keci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76200"/>
          <a:ext cx="7620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2</xdr:col>
      <xdr:colOff>104775</xdr:colOff>
      <xdr:row>2</xdr:row>
      <xdr:rowOff>285750</xdr:rowOff>
    </xdr:to>
    <xdr:pic>
      <xdr:nvPicPr>
        <xdr:cNvPr id="2" name="Picture 1" descr="GarudaBaz keci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66675"/>
          <a:ext cx="685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pembukuan%202016\lap%20bulanan'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pembukuan%202016\lap.%20depan'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embukuan%202016/lap.%20depan'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embukuan%202016/lap%20bulanan'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embukuan%202016\pembukuan%202016\lap.%20depan'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embukuan%202016\pembukuan%202016\lap%20bulanan'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embukuan%202016\pembukuan%202016\tes%20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embukuan%202016/pembukuan%202016/lap.%20depan'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pembukuan%202016/lap.%20depan'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pebruari"/>
      <sheetName val="maret"/>
      <sheetName val="april"/>
      <sheetName val="mei"/>
      <sheetName val="juni"/>
      <sheetName val="juli"/>
      <sheetName val="agustus"/>
      <sheetName val="September"/>
      <sheetName val="oktober"/>
      <sheetName val="november"/>
      <sheetName val="desember"/>
      <sheetName val="Sheet1"/>
    </sheetNames>
    <sheetDataSet>
      <sheetData sheetId="0" refreshError="1">
        <row r="212">
          <cell r="G212">
            <v>128548302</v>
          </cell>
          <cell r="H212">
            <v>45204051</v>
          </cell>
        </row>
        <row r="220">
          <cell r="I220">
            <v>9313500</v>
          </cell>
        </row>
        <row r="228">
          <cell r="I228">
            <v>45588600</v>
          </cell>
        </row>
      </sheetData>
      <sheetData sheetId="1" refreshError="1">
        <row r="206">
          <cell r="G206">
            <v>106058686</v>
          </cell>
          <cell r="H206">
            <v>44157494</v>
          </cell>
        </row>
        <row r="217">
          <cell r="I217">
            <v>7074420</v>
          </cell>
        </row>
        <row r="230">
          <cell r="I230">
            <v>17124823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 UTAMA"/>
      <sheetName val="JANUARI"/>
      <sheetName val="FEBRUARI"/>
      <sheetName val="MARET"/>
      <sheetName val="APRIL"/>
      <sheetName val="MEI"/>
      <sheetName val="JUNI"/>
      <sheetName val="JULI"/>
      <sheetName val="AGUSTUS"/>
      <sheetName val="SEPTEMBER"/>
      <sheetName val="OKTOBER"/>
      <sheetName val="NOPEMBER"/>
      <sheetName val="DESEMBER"/>
      <sheetName val="Sheet4"/>
    </sheetNames>
    <sheetDataSet>
      <sheetData sheetId="0" refreshError="1"/>
      <sheetData sheetId="1" refreshError="1">
        <row r="28">
          <cell r="F28">
            <v>1361992919</v>
          </cell>
        </row>
        <row r="33">
          <cell r="F33">
            <v>2550000</v>
          </cell>
        </row>
        <row r="40">
          <cell r="F40">
            <v>906345167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 UTAMA"/>
      <sheetName val="JANUARI"/>
      <sheetName val="FEBRUARI"/>
      <sheetName val="MARET"/>
      <sheetName val="APRIL"/>
      <sheetName val="MEI"/>
      <sheetName val="JUNI"/>
      <sheetName val="JULI"/>
      <sheetName val="AGUSTUS"/>
      <sheetName val="SEPTEMBER"/>
      <sheetName val="OKTOBER"/>
      <sheetName val="NOPEMBER"/>
      <sheetName val="DESEMBER"/>
      <sheetName val="Sheet4"/>
    </sheetNames>
    <sheetDataSet>
      <sheetData sheetId="0" refreshError="1"/>
      <sheetData sheetId="1" refreshError="1">
        <row r="33">
          <cell r="F33">
            <v>2550000</v>
          </cell>
        </row>
      </sheetData>
      <sheetData sheetId="2" refreshError="1">
        <row r="28">
          <cell r="F28">
            <v>1460977185</v>
          </cell>
        </row>
        <row r="40">
          <cell r="F40">
            <v>933377838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pebruari"/>
      <sheetName val="maret"/>
      <sheetName val="april"/>
      <sheetName val="mei"/>
      <sheetName val="juni"/>
      <sheetName val="juli"/>
      <sheetName val="agustus"/>
      <sheetName val="September"/>
      <sheetName val="oktober"/>
      <sheetName val="november"/>
      <sheetName val="desember"/>
      <sheetName val="Sheet1"/>
    </sheetNames>
    <sheetDataSet>
      <sheetData sheetId="0"/>
      <sheetData sheetId="1"/>
      <sheetData sheetId="2">
        <row r="202">
          <cell r="G202">
            <v>124806952</v>
          </cell>
          <cell r="H202">
            <v>44613251</v>
          </cell>
        </row>
        <row r="222">
          <cell r="I222">
            <v>265005000</v>
          </cell>
        </row>
        <row r="237">
          <cell r="I237">
            <v>35372777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U UTAMA"/>
      <sheetName val="JANUARI"/>
      <sheetName val="FEBRUARI"/>
      <sheetName val="MARET"/>
      <sheetName val="APRIL"/>
      <sheetName val="MEI"/>
      <sheetName val="JUNI"/>
      <sheetName val="JULI"/>
      <sheetName val="AGUSTUS"/>
      <sheetName val="SEPTEMBER"/>
      <sheetName val="OKTOBER"/>
      <sheetName val="NOPEMBER"/>
      <sheetName val="DESEMBER"/>
      <sheetName val="Sheet4"/>
    </sheetNames>
    <sheetDataSet>
      <sheetData sheetId="0" refreshError="1"/>
      <sheetData sheetId="1" refreshError="1">
        <row r="33">
          <cell r="F33">
            <v>2550000</v>
          </cell>
        </row>
      </sheetData>
      <sheetData sheetId="2" refreshError="1"/>
      <sheetData sheetId="3" refreshError="1">
        <row r="28">
          <cell r="F28">
            <v>1320779137</v>
          </cell>
        </row>
        <row r="40">
          <cell r="F40">
            <v>942618312</v>
          </cell>
        </row>
      </sheetData>
      <sheetData sheetId="4" refreshError="1">
        <row r="28">
          <cell r="F28">
            <v>1416271757</v>
          </cell>
        </row>
        <row r="40">
          <cell r="F40">
            <v>979246098</v>
          </cell>
        </row>
      </sheetData>
      <sheetData sheetId="5" refreshError="1"/>
      <sheetData sheetId="6" refreshError="1">
        <row r="28">
          <cell r="F28">
            <v>1330064484</v>
          </cell>
        </row>
        <row r="30">
          <cell r="F30">
            <v>2550000</v>
          </cell>
        </row>
        <row r="40">
          <cell r="F40">
            <v>945095011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pebruari"/>
      <sheetName val="maret"/>
      <sheetName val="april"/>
      <sheetName val="mei"/>
      <sheetName val="juni"/>
      <sheetName val="juli"/>
      <sheetName val="agustus"/>
      <sheetName val="September"/>
      <sheetName val="oktober"/>
      <sheetName val="november"/>
      <sheetName val="desember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204">
          <cell r="G204">
            <v>131172620</v>
          </cell>
          <cell r="H204">
            <v>44131049</v>
          </cell>
        </row>
        <row r="216">
          <cell r="I216">
            <v>35680000</v>
          </cell>
        </row>
        <row r="230">
          <cell r="I230">
            <v>7503263</v>
          </cell>
        </row>
      </sheetData>
      <sheetData sheetId="4" refreshError="1">
        <row r="210">
          <cell r="G210">
            <v>133405383</v>
          </cell>
          <cell r="H210">
            <v>50618374</v>
          </cell>
        </row>
        <row r="226">
          <cell r="I226">
            <v>117126000</v>
          </cell>
        </row>
        <row r="260">
          <cell r="I260">
            <v>27715869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NU UTAMA"/>
      <sheetName val="JANUARI"/>
      <sheetName val="FEBRUARI"/>
      <sheetName val="MARET"/>
      <sheetName val="APRIL"/>
      <sheetName val="MEI"/>
      <sheetName val="JUNI"/>
      <sheetName val="JULI"/>
      <sheetName val="AGUSTUS"/>
      <sheetName val="SEPTEMBER"/>
      <sheetName val="OKTOBER"/>
      <sheetName val="NOPEMBER"/>
      <sheetName val="DESEMBER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F28">
            <v>1432551140</v>
          </cell>
        </row>
        <row r="33">
          <cell r="F33">
            <v>2550000</v>
          </cell>
        </row>
        <row r="40">
          <cell r="F40">
            <v>1002148603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 UTAMA"/>
      <sheetName val="JANUARI"/>
      <sheetName val="FEBRUARI"/>
      <sheetName val="MARET"/>
      <sheetName val="APRIL"/>
      <sheetName val="MEI"/>
      <sheetName val="JUNI"/>
      <sheetName val="JULI"/>
      <sheetName val="AGUSTUS"/>
      <sheetName val="SEPTEMBER"/>
      <sheetName val="OKTOBER"/>
      <sheetName val="NOPEMBER"/>
      <sheetName val="DESEMB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E28"/>
        </row>
        <row r="30">
          <cell r="E30"/>
        </row>
        <row r="40">
          <cell r="E40"/>
        </row>
      </sheetData>
      <sheetData sheetId="8">
        <row r="28">
          <cell r="G28">
            <v>1588877798</v>
          </cell>
        </row>
        <row r="33">
          <cell r="G33">
            <v>2550000</v>
          </cell>
        </row>
        <row r="40">
          <cell r="G40">
            <v>1073308353</v>
          </cell>
        </row>
      </sheetData>
      <sheetData sheetId="9">
        <row r="28">
          <cell r="F28">
            <v>1717445659</v>
          </cell>
        </row>
        <row r="33">
          <cell r="F33">
            <v>2675000</v>
          </cell>
        </row>
        <row r="40">
          <cell r="F40">
            <v>1131512212</v>
          </cell>
        </row>
      </sheetData>
      <sheetData sheetId="10">
        <row r="28">
          <cell r="F28">
            <v>1839917065</v>
          </cell>
        </row>
      </sheetData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NU UTAMA"/>
      <sheetName val="JANUARI"/>
      <sheetName val="FEBRUARI"/>
      <sheetName val="MARET"/>
      <sheetName val="APRIL"/>
      <sheetName val="MEI"/>
      <sheetName val="JUNI"/>
      <sheetName val="JULI"/>
      <sheetName val="AGUSTUS"/>
      <sheetName val="SEPTEMBER"/>
      <sheetName val="OKTOBER"/>
      <sheetName val="NOPEMBER"/>
      <sheetName val="DESEMB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F28">
            <v>1839917065</v>
          </cell>
        </row>
        <row r="33">
          <cell r="F33">
            <v>2675000</v>
          </cell>
        </row>
        <row r="40">
          <cell r="F40">
            <v>1145632119</v>
          </cell>
        </row>
      </sheetData>
      <sheetData sheetId="11">
        <row r="28">
          <cell r="F28">
            <v>1941804895</v>
          </cell>
        </row>
        <row r="33">
          <cell r="F33">
            <v>2675000</v>
          </cell>
        </row>
        <row r="40">
          <cell r="F40">
            <v>1099575393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opLeftCell="A274" workbookViewId="0">
      <selection activeCell="E62" sqref="E62"/>
    </sheetView>
  </sheetViews>
  <sheetFormatPr defaultRowHeight="15"/>
  <cols>
    <col min="1" max="1" width="5.140625" customWidth="1"/>
    <col min="2" max="2" width="7" customWidth="1"/>
    <col min="3" max="3" width="35" customWidth="1"/>
    <col min="4" max="4" width="18.7109375" customWidth="1"/>
    <col min="5" max="5" width="21.5703125" customWidth="1"/>
    <col min="6" max="6" width="18.7109375" customWidth="1"/>
    <col min="7" max="9" width="13.7109375" customWidth="1"/>
  </cols>
  <sheetData>
    <row r="1" spans="1:6" ht="33">
      <c r="A1" s="1" t="s">
        <v>0</v>
      </c>
      <c r="B1" s="1"/>
      <c r="C1" s="1"/>
      <c r="D1" s="1"/>
      <c r="E1" s="1"/>
      <c r="F1" s="1"/>
    </row>
    <row r="2" spans="1:6" ht="33">
      <c r="A2" s="2" t="s">
        <v>1</v>
      </c>
      <c r="B2" s="2"/>
      <c r="C2" s="2"/>
      <c r="D2" s="2"/>
      <c r="E2" s="2"/>
      <c r="F2" s="2"/>
    </row>
    <row r="3" spans="1:6" ht="33">
      <c r="A3" s="2" t="s">
        <v>2</v>
      </c>
      <c r="B3" s="2"/>
      <c r="C3" s="2"/>
      <c r="D3" s="2"/>
      <c r="E3" s="2"/>
      <c r="F3" s="2"/>
    </row>
    <row r="4" spans="1:6">
      <c r="A4" s="3" t="s">
        <v>3</v>
      </c>
      <c r="B4" s="3"/>
      <c r="C4" s="3"/>
      <c r="D4" s="3"/>
      <c r="E4" s="3"/>
      <c r="F4" s="3"/>
    </row>
    <row r="5" spans="1:6">
      <c r="A5" s="4" t="s">
        <v>4</v>
      </c>
      <c r="B5" s="4"/>
      <c r="C5" s="4"/>
      <c r="D5" s="4"/>
      <c r="E5" s="4"/>
      <c r="F5" s="4"/>
    </row>
    <row r="6" spans="1:6">
      <c r="A6" s="5"/>
      <c r="B6" s="5"/>
      <c r="C6" s="5"/>
      <c r="D6" s="5"/>
      <c r="E6" s="5"/>
      <c r="F6" s="5"/>
    </row>
    <row r="7" spans="1:6" ht="18.75">
      <c r="A7" s="6"/>
      <c r="B7" s="6"/>
      <c r="C7" s="6"/>
      <c r="D7" s="6"/>
      <c r="E7" s="7" t="s">
        <v>5</v>
      </c>
      <c r="F7" s="7"/>
    </row>
    <row r="8" spans="1:6" ht="18.75">
      <c r="A8" s="8" t="s">
        <v>6</v>
      </c>
      <c r="B8" s="8"/>
      <c r="C8" s="9" t="s">
        <v>7</v>
      </c>
      <c r="D8" s="10"/>
      <c r="E8" s="9"/>
      <c r="F8" s="10"/>
    </row>
    <row r="9" spans="1:6" ht="18.75">
      <c r="A9" s="8" t="s">
        <v>8</v>
      </c>
      <c r="B9" s="8"/>
      <c r="C9" s="9" t="s">
        <v>9</v>
      </c>
      <c r="D9" s="10"/>
      <c r="E9" s="9"/>
      <c r="F9" s="9"/>
    </row>
    <row r="10" spans="1:6" ht="18.75">
      <c r="A10" s="8" t="s">
        <v>10</v>
      </c>
      <c r="B10" s="8"/>
      <c r="C10" s="9" t="s">
        <v>11</v>
      </c>
      <c r="D10" s="10"/>
      <c r="E10" s="9"/>
      <c r="F10" s="9"/>
    </row>
    <row r="11" spans="1:6" ht="18.75">
      <c r="A11" s="9"/>
      <c r="B11" s="9"/>
      <c r="C11" s="9"/>
      <c r="D11" s="9"/>
      <c r="E11" s="9"/>
      <c r="F11" s="9"/>
    </row>
    <row r="12" spans="1:6" ht="18.75">
      <c r="A12" s="9"/>
      <c r="B12" s="9" t="s">
        <v>12</v>
      </c>
      <c r="C12" s="10"/>
      <c r="D12" s="10"/>
      <c r="E12" s="9"/>
      <c r="F12" s="9"/>
    </row>
    <row r="13" spans="1:6" ht="18.75">
      <c r="A13" s="9"/>
      <c r="B13" s="9" t="s">
        <v>13</v>
      </c>
      <c r="C13" s="10"/>
      <c r="D13" s="10"/>
      <c r="E13" s="9"/>
      <c r="F13" s="9"/>
    </row>
    <row r="14" spans="1:6" ht="18.75">
      <c r="A14" s="9"/>
      <c r="B14" s="9" t="s">
        <v>14</v>
      </c>
      <c r="C14" s="10"/>
      <c r="D14" s="10"/>
      <c r="E14" s="9"/>
      <c r="F14" s="9"/>
    </row>
    <row r="15" spans="1:6" ht="18.75">
      <c r="A15" s="9"/>
      <c r="B15" s="9" t="s">
        <v>15</v>
      </c>
      <c r="C15" s="10"/>
      <c r="D15" s="10"/>
      <c r="E15" s="9"/>
      <c r="F15" s="9"/>
    </row>
    <row r="16" spans="1:6" ht="18.75">
      <c r="A16" s="9"/>
      <c r="B16" s="9" t="s">
        <v>16</v>
      </c>
      <c r="C16" s="9"/>
      <c r="D16" s="10"/>
      <c r="E16" s="9"/>
      <c r="F16" s="9"/>
    </row>
    <row r="17" spans="1:6" ht="18.75">
      <c r="A17" s="9"/>
      <c r="B17" s="9" t="s">
        <v>17</v>
      </c>
      <c r="C17" s="9"/>
      <c r="D17" s="10"/>
      <c r="E17" s="9"/>
      <c r="F17" s="10"/>
    </row>
    <row r="18" spans="1:6" ht="18.75">
      <c r="A18" s="9"/>
      <c r="B18" s="9" t="s">
        <v>18</v>
      </c>
      <c r="C18" s="9"/>
      <c r="D18" s="10"/>
      <c r="E18" s="9"/>
      <c r="F18" s="9"/>
    </row>
    <row r="19" spans="1:6" ht="18.75">
      <c r="A19" s="9"/>
      <c r="B19" s="10"/>
      <c r="C19" s="9"/>
      <c r="D19" s="9"/>
      <c r="E19" s="9"/>
      <c r="F19" s="9"/>
    </row>
    <row r="20" spans="1:6" ht="19.5">
      <c r="A20" s="9"/>
      <c r="B20" s="11" t="s">
        <v>19</v>
      </c>
      <c r="C20" s="12"/>
      <c r="D20" s="12"/>
      <c r="E20" s="9"/>
      <c r="F20" s="10"/>
    </row>
    <row r="21" spans="1:6" ht="18.75">
      <c r="A21" s="9"/>
      <c r="B21" s="13" t="s">
        <v>20</v>
      </c>
      <c r="C21" s="13"/>
      <c r="D21" s="13"/>
      <c r="E21" s="13"/>
      <c r="F21" s="10"/>
    </row>
    <row r="22" spans="1:6" ht="18.75">
      <c r="A22" s="9"/>
      <c r="B22" s="13" t="s">
        <v>21</v>
      </c>
      <c r="C22" s="13"/>
      <c r="D22" s="13"/>
      <c r="E22" s="13"/>
      <c r="F22" s="10"/>
    </row>
    <row r="23" spans="1:6" ht="15.75">
      <c r="A23" s="14"/>
      <c r="B23" s="14"/>
      <c r="C23" s="14"/>
      <c r="D23" s="14"/>
      <c r="E23" s="15" t="s">
        <v>22</v>
      </c>
      <c r="F23" s="15"/>
    </row>
    <row r="24" spans="1:6" ht="18.75">
      <c r="A24" s="14"/>
      <c r="B24" s="16" t="s">
        <v>23</v>
      </c>
      <c r="C24" s="16" t="s">
        <v>24</v>
      </c>
      <c r="D24" s="17" t="s">
        <v>25</v>
      </c>
      <c r="E24" s="17" t="s">
        <v>26</v>
      </c>
      <c r="F24" s="17" t="s">
        <v>27</v>
      </c>
    </row>
    <row r="25" spans="1:6" ht="18.75">
      <c r="A25" s="14"/>
      <c r="B25" s="18"/>
      <c r="C25" s="18"/>
      <c r="D25" s="19"/>
      <c r="E25" s="19"/>
      <c r="F25" s="19"/>
    </row>
    <row r="26" spans="1:6" ht="15.75">
      <c r="A26" s="14"/>
      <c r="B26" s="20">
        <v>1</v>
      </c>
      <c r="C26" s="21" t="s">
        <v>28</v>
      </c>
      <c r="D26" s="22"/>
      <c r="E26" s="22"/>
      <c r="F26" s="23"/>
    </row>
    <row r="27" spans="1:6" ht="15.75">
      <c r="A27" s="14"/>
      <c r="B27" s="20"/>
      <c r="C27" s="21" t="s">
        <v>29</v>
      </c>
      <c r="D27" s="22"/>
      <c r="E27" s="22"/>
      <c r="F27" s="23"/>
    </row>
    <row r="28" spans="1:6" ht="15.75">
      <c r="A28" s="14"/>
      <c r="B28" s="24"/>
      <c r="C28" s="25" t="s">
        <v>30</v>
      </c>
      <c r="D28" s="26"/>
      <c r="E28" s="26"/>
      <c r="F28" s="26">
        <f>1242808117</f>
        <v>1242808117</v>
      </c>
    </row>
    <row r="29" spans="1:6" ht="15.75">
      <c r="A29" s="14"/>
      <c r="B29" s="24"/>
      <c r="C29" s="25" t="s">
        <v>31</v>
      </c>
      <c r="D29" s="27">
        <f>[1]januari!$G$212-50000</f>
        <v>128498302</v>
      </c>
      <c r="E29" s="28"/>
      <c r="F29" s="26"/>
    </row>
    <row r="30" spans="1:6" ht="15.75">
      <c r="A30" s="14"/>
      <c r="B30" s="24"/>
      <c r="C30" s="25" t="s">
        <v>32</v>
      </c>
      <c r="D30" s="26"/>
      <c r="E30" s="29">
        <f>[1]januari!$I$220</f>
        <v>9313500</v>
      </c>
      <c r="F30" s="26"/>
    </row>
    <row r="31" spans="1:6" ht="15.75">
      <c r="A31" s="14"/>
      <c r="B31" s="24"/>
      <c r="C31" s="30" t="s">
        <v>33</v>
      </c>
      <c r="D31" s="26"/>
      <c r="E31" s="29"/>
      <c r="F31" s="31">
        <f>F28+D29-E30</f>
        <v>1361992919</v>
      </c>
    </row>
    <row r="32" spans="1:6" ht="15.75">
      <c r="A32" s="14"/>
      <c r="B32" s="20"/>
      <c r="C32" s="32" t="s">
        <v>34</v>
      </c>
      <c r="D32" s="33"/>
      <c r="E32" s="33"/>
      <c r="F32" s="34"/>
    </row>
    <row r="33" spans="1:6" ht="15.75">
      <c r="A33" s="14"/>
      <c r="B33" s="24"/>
      <c r="C33" s="35" t="s">
        <v>30</v>
      </c>
      <c r="D33" s="29"/>
      <c r="E33" s="36"/>
      <c r="F33" s="37">
        <f>2500000</f>
        <v>2500000</v>
      </c>
    </row>
    <row r="34" spans="1:6" ht="15.75">
      <c r="A34" s="14"/>
      <c r="B34" s="24"/>
      <c r="C34" s="25" t="s">
        <v>31</v>
      </c>
      <c r="D34" s="37">
        <v>50000</v>
      </c>
      <c r="E34" s="36"/>
      <c r="F34" s="37"/>
    </row>
    <row r="35" spans="1:6" ht="15.75">
      <c r="A35" s="14"/>
      <c r="B35" s="24"/>
      <c r="C35" s="25" t="s">
        <v>32</v>
      </c>
      <c r="D35" s="29"/>
      <c r="E35" s="36">
        <f>0</f>
        <v>0</v>
      </c>
      <c r="F35" s="37"/>
    </row>
    <row r="36" spans="1:6" ht="15.75">
      <c r="A36" s="14"/>
      <c r="B36" s="24"/>
      <c r="C36" s="30" t="s">
        <v>33</v>
      </c>
      <c r="D36" s="38"/>
      <c r="E36" s="38"/>
      <c r="F36" s="31">
        <f>F33+D34-E35</f>
        <v>2550000</v>
      </c>
    </row>
    <row r="37" spans="1:6" ht="15.75">
      <c r="A37" s="14"/>
      <c r="B37" s="24"/>
      <c r="C37" s="30" t="s">
        <v>35</v>
      </c>
      <c r="D37" s="31">
        <f>D29+D34</f>
        <v>128548302</v>
      </c>
      <c r="E37" s="39">
        <f>E30+E35</f>
        <v>9313500</v>
      </c>
      <c r="F37" s="40">
        <f>F31+F36</f>
        <v>1364542919</v>
      </c>
    </row>
    <row r="38" spans="1:6" ht="15.75">
      <c r="A38" s="14"/>
      <c r="B38" s="20">
        <v>2</v>
      </c>
      <c r="C38" s="32" t="s">
        <v>36</v>
      </c>
      <c r="D38" s="33"/>
      <c r="E38" s="41"/>
      <c r="F38" s="42"/>
    </row>
    <row r="39" spans="1:6" ht="15.75">
      <c r="A39" s="14"/>
      <c r="B39" s="20"/>
      <c r="C39" s="32" t="s">
        <v>29</v>
      </c>
      <c r="D39" s="33"/>
      <c r="E39" s="41"/>
      <c r="F39" s="42"/>
    </row>
    <row r="40" spans="1:6" ht="15.75">
      <c r="A40" s="43"/>
      <c r="B40" s="24"/>
      <c r="C40" s="25" t="s">
        <v>30</v>
      </c>
      <c r="D40" s="26"/>
      <c r="E40" s="44"/>
      <c r="F40" s="39">
        <v>906729716</v>
      </c>
    </row>
    <row r="41" spans="1:6" ht="15.75">
      <c r="A41" s="45"/>
      <c r="B41" s="24"/>
      <c r="C41" s="25" t="s">
        <v>31</v>
      </c>
      <c r="D41" s="46">
        <f>[1]januari!$H$212</f>
        <v>45204051</v>
      </c>
      <c r="E41" s="47"/>
      <c r="F41" s="44"/>
    </row>
    <row r="42" spans="1:6" ht="15.75">
      <c r="A42" s="14"/>
      <c r="B42" s="24"/>
      <c r="C42" s="25" t="s">
        <v>32</v>
      </c>
      <c r="D42" s="28"/>
      <c r="E42" s="48">
        <f>[1]januari!$I$228</f>
        <v>45588600</v>
      </c>
      <c r="F42" s="44"/>
    </row>
    <row r="43" spans="1:6" ht="15.75">
      <c r="A43" s="14"/>
      <c r="B43" s="20"/>
      <c r="C43" s="49" t="s">
        <v>37</v>
      </c>
      <c r="D43" s="38"/>
      <c r="E43" s="50"/>
      <c r="F43" s="51">
        <f>F40+D41-E42</f>
        <v>906345167</v>
      </c>
    </row>
    <row r="44" spans="1:6" ht="15.75">
      <c r="A44" s="14"/>
      <c r="B44" s="24"/>
      <c r="C44" s="52" t="s">
        <v>38</v>
      </c>
      <c r="D44" s="53">
        <f>D29+D41</f>
        <v>173702353</v>
      </c>
      <c r="E44" s="53">
        <f>E30+E42</f>
        <v>54902100</v>
      </c>
      <c r="F44" s="31">
        <f>F37+F43</f>
        <v>2270888086</v>
      </c>
    </row>
    <row r="45" spans="1:6" ht="15.75">
      <c r="A45" s="54" t="s">
        <v>39</v>
      </c>
      <c r="B45" s="54"/>
      <c r="C45" s="54"/>
      <c r="D45" s="54"/>
      <c r="E45" s="54"/>
      <c r="F45" s="54"/>
    </row>
    <row r="46" spans="1:6" ht="18.75">
      <c r="A46" s="55"/>
      <c r="B46" s="56"/>
      <c r="C46" s="10"/>
      <c r="D46" s="57"/>
      <c r="E46" s="10"/>
      <c r="F46" s="58"/>
    </row>
    <row r="47" spans="1:6" ht="18.75">
      <c r="A47" s="14"/>
      <c r="B47" s="59"/>
      <c r="C47" s="60" t="s">
        <v>40</v>
      </c>
      <c r="D47" s="61"/>
      <c r="E47" s="60"/>
      <c r="F47" s="58"/>
    </row>
    <row r="48" spans="1:6" ht="19.5">
      <c r="A48" s="62"/>
      <c r="B48" s="59"/>
      <c r="C48" s="63" t="s">
        <v>41</v>
      </c>
      <c r="D48" s="64"/>
      <c r="E48" s="65"/>
      <c r="F48" s="66"/>
    </row>
    <row r="49" spans="1:9" ht="18.75">
      <c r="A49" s="62"/>
      <c r="B49" s="62"/>
      <c r="C49" s="67" t="s">
        <v>42</v>
      </c>
      <c r="D49" s="10"/>
      <c r="E49" s="68" t="s">
        <v>43</v>
      </c>
      <c r="F49" s="68"/>
    </row>
    <row r="50" spans="1:9" ht="18.75">
      <c r="A50" s="62"/>
      <c r="B50" s="62"/>
      <c r="C50" s="67"/>
      <c r="D50" s="10"/>
      <c r="E50" s="69"/>
      <c r="F50" s="69"/>
    </row>
    <row r="51" spans="1:9" ht="18.75">
      <c r="A51" s="62"/>
      <c r="B51" s="62"/>
      <c r="C51" s="70" t="s">
        <v>44</v>
      </c>
      <c r="D51" s="71"/>
      <c r="E51" s="72" t="s">
        <v>44</v>
      </c>
      <c r="F51" s="72"/>
    </row>
    <row r="52" spans="1:9" ht="18.75">
      <c r="A52" s="62"/>
      <c r="B52" s="62"/>
      <c r="C52" s="73" t="s">
        <v>45</v>
      </c>
      <c r="D52" s="74"/>
      <c r="E52" s="75" t="s">
        <v>46</v>
      </c>
      <c r="F52" s="75"/>
    </row>
    <row r="53" spans="1:9" ht="15.75">
      <c r="A53" s="62"/>
      <c r="B53" s="62"/>
      <c r="C53" s="62"/>
      <c r="D53" s="62"/>
      <c r="E53" s="62"/>
      <c r="F53" s="62"/>
    </row>
    <row r="54" spans="1:9" ht="18.75">
      <c r="A54" s="59"/>
      <c r="B54" s="76" t="s">
        <v>47</v>
      </c>
      <c r="C54" s="9"/>
      <c r="D54" s="77"/>
      <c r="E54" s="62"/>
      <c r="F54" s="62"/>
    </row>
    <row r="55" spans="1:9" ht="18.75">
      <c r="A55" s="59"/>
      <c r="B55" s="9" t="s">
        <v>48</v>
      </c>
      <c r="C55" s="9"/>
      <c r="D55" s="78"/>
      <c r="E55" s="62"/>
      <c r="F55" s="62"/>
    </row>
    <row r="56" spans="1:9" ht="18.75">
      <c r="A56" s="59"/>
      <c r="B56" s="9" t="s">
        <v>49</v>
      </c>
      <c r="C56" s="9"/>
      <c r="D56" s="14"/>
      <c r="E56" s="62"/>
      <c r="F56" s="62"/>
    </row>
    <row r="57" spans="1:9" ht="18.75">
      <c r="A57" s="59"/>
      <c r="B57" s="9" t="s">
        <v>50</v>
      </c>
      <c r="C57" s="9"/>
      <c r="D57" s="14"/>
      <c r="E57" s="62"/>
      <c r="F57" s="62"/>
    </row>
    <row r="58" spans="1:9" ht="18.75">
      <c r="A58" s="59"/>
      <c r="B58" s="9" t="s">
        <v>51</v>
      </c>
      <c r="C58" s="9"/>
      <c r="D58" s="14"/>
      <c r="E58" s="62"/>
      <c r="F58" s="62"/>
    </row>
    <row r="59" spans="1:9" ht="15.75">
      <c r="B59" s="14"/>
      <c r="C59" s="14"/>
      <c r="D59" s="14"/>
      <c r="E59" s="79"/>
      <c r="F59" s="79"/>
    </row>
    <row r="61" spans="1:9" ht="18.75">
      <c r="A61" s="80" t="s">
        <v>52</v>
      </c>
    </row>
    <row r="63" spans="1:9" ht="22.5">
      <c r="A63" s="81" t="s">
        <v>53</v>
      </c>
      <c r="B63" s="81"/>
      <c r="C63" s="81"/>
      <c r="D63" s="81"/>
      <c r="E63" s="81"/>
      <c r="F63" s="81"/>
      <c r="G63" s="81"/>
      <c r="H63" s="81"/>
      <c r="I63" s="81"/>
    </row>
    <row r="64" spans="1:9" ht="22.5">
      <c r="A64" s="81" t="s">
        <v>54</v>
      </c>
      <c r="B64" s="81"/>
      <c r="C64" s="81"/>
      <c r="D64" s="81"/>
      <c r="E64" s="81"/>
      <c r="F64" s="81"/>
      <c r="G64" s="81"/>
      <c r="H64" s="81"/>
      <c r="I64" s="81"/>
    </row>
    <row r="65" spans="1:9" ht="20.25">
      <c r="A65" s="82" t="s">
        <v>55</v>
      </c>
      <c r="B65" s="82"/>
      <c r="C65" s="82"/>
      <c r="D65" s="82"/>
      <c r="E65" s="82"/>
      <c r="F65" s="82"/>
      <c r="G65" s="82"/>
      <c r="H65" s="82"/>
      <c r="I65" s="82"/>
    </row>
    <row r="66" spans="1:9" ht="15.75" thickBot="1">
      <c r="A66" s="83"/>
      <c r="B66" s="83"/>
      <c r="C66" s="83"/>
      <c r="D66" s="83"/>
      <c r="E66" s="83"/>
      <c r="F66" s="83"/>
      <c r="G66" s="83"/>
      <c r="H66" s="83"/>
      <c r="I66" s="83"/>
    </row>
    <row r="67" spans="1:9" ht="15.75" thickTop="1">
      <c r="A67" s="84" t="s">
        <v>23</v>
      </c>
      <c r="B67" s="85" t="s">
        <v>56</v>
      </c>
      <c r="C67" s="86"/>
      <c r="D67" s="87" t="s">
        <v>57</v>
      </c>
      <c r="E67" s="88"/>
      <c r="F67" s="89" t="s">
        <v>58</v>
      </c>
      <c r="G67" s="87" t="s">
        <v>57</v>
      </c>
      <c r="H67" s="88"/>
      <c r="I67" s="89" t="s">
        <v>58</v>
      </c>
    </row>
    <row r="68" spans="1:9">
      <c r="A68" s="90"/>
      <c r="B68" s="91"/>
      <c r="C68" s="92"/>
      <c r="D68" s="93" t="s">
        <v>59</v>
      </c>
      <c r="E68" s="94"/>
      <c r="F68" s="95"/>
      <c r="G68" s="93" t="s">
        <v>60</v>
      </c>
      <c r="H68" s="94"/>
      <c r="I68" s="95"/>
    </row>
    <row r="69" spans="1:9">
      <c r="A69" s="96"/>
      <c r="B69" s="97"/>
      <c r="C69" s="98"/>
      <c r="D69" s="99" t="s">
        <v>28</v>
      </c>
      <c r="E69" s="99" t="s">
        <v>61</v>
      </c>
      <c r="F69" s="100"/>
      <c r="G69" s="99" t="s">
        <v>28</v>
      </c>
      <c r="H69" s="99" t="s">
        <v>61</v>
      </c>
      <c r="I69" s="100"/>
    </row>
    <row r="70" spans="1:9">
      <c r="A70" s="101" t="s">
        <v>62</v>
      </c>
      <c r="B70" s="102"/>
      <c r="C70" s="102"/>
      <c r="D70" s="102"/>
      <c r="E70" s="102"/>
      <c r="F70" s="102"/>
      <c r="G70" s="102"/>
      <c r="H70" s="102"/>
      <c r="I70" s="103"/>
    </row>
    <row r="71" spans="1:9">
      <c r="A71" s="104">
        <v>1</v>
      </c>
      <c r="B71" s="104">
        <v>1</v>
      </c>
      <c r="C71" s="105" t="s">
        <v>63</v>
      </c>
      <c r="D71" s="106">
        <v>2035800</v>
      </c>
      <c r="E71" s="107">
        <f>0</f>
        <v>0</v>
      </c>
      <c r="F71" s="106">
        <f>SUM(D71:E71)</f>
        <v>2035800</v>
      </c>
      <c r="G71" s="106">
        <v>2035800</v>
      </c>
      <c r="H71" s="107">
        <f>0</f>
        <v>0</v>
      </c>
      <c r="I71" s="106">
        <f>SUM(G71:H71)</f>
        <v>2035800</v>
      </c>
    </row>
    <row r="72" spans="1:9">
      <c r="A72" s="108" t="s">
        <v>58</v>
      </c>
      <c r="B72" s="109"/>
      <c r="C72" s="109"/>
      <c r="D72" s="110">
        <f>D71</f>
        <v>2035800</v>
      </c>
      <c r="E72" s="111">
        <f>E71</f>
        <v>0</v>
      </c>
      <c r="F72" s="112">
        <f>SUM(D72:E72)</f>
        <v>2035800</v>
      </c>
      <c r="G72" s="110">
        <f>G71</f>
        <v>2035800</v>
      </c>
      <c r="H72" s="111">
        <f>H71</f>
        <v>0</v>
      </c>
      <c r="I72" s="112">
        <f>SUM(G72:H72)</f>
        <v>2035800</v>
      </c>
    </row>
    <row r="73" spans="1:9">
      <c r="A73" s="108" t="s">
        <v>64</v>
      </c>
      <c r="B73" s="109"/>
      <c r="C73" s="109"/>
      <c r="D73" s="109"/>
      <c r="E73" s="109"/>
      <c r="F73" s="109"/>
      <c r="G73" s="109"/>
      <c r="H73" s="109"/>
      <c r="I73" s="113"/>
    </row>
    <row r="74" spans="1:9">
      <c r="A74" s="114">
        <v>2</v>
      </c>
      <c r="B74" s="115">
        <v>1</v>
      </c>
      <c r="C74" s="116" t="s">
        <v>65</v>
      </c>
      <c r="D74" s="106">
        <f>0</f>
        <v>0</v>
      </c>
      <c r="E74" s="106">
        <f>0</f>
        <v>0</v>
      </c>
      <c r="F74" s="117">
        <f>SUM(D74:E74)</f>
        <v>0</v>
      </c>
      <c r="G74" s="106">
        <f>0</f>
        <v>0</v>
      </c>
      <c r="H74" s="106">
        <f>0</f>
        <v>0</v>
      </c>
      <c r="I74" s="117">
        <f>SUM(G74:H74)</f>
        <v>0</v>
      </c>
    </row>
    <row r="75" spans="1:9">
      <c r="A75" s="114">
        <v>3</v>
      </c>
      <c r="B75" s="115">
        <v>2</v>
      </c>
      <c r="C75" s="116" t="s">
        <v>66</v>
      </c>
      <c r="D75" s="106">
        <v>864469</v>
      </c>
      <c r="E75" s="106">
        <v>296550</v>
      </c>
      <c r="F75" s="117">
        <f t="shared" ref="F75:F83" si="0">SUM(D75:E75)</f>
        <v>1161019</v>
      </c>
      <c r="G75" s="106">
        <v>864469</v>
      </c>
      <c r="H75" s="106">
        <v>296550</v>
      </c>
      <c r="I75" s="117">
        <f t="shared" ref="I75:I83" si="1">SUM(G75:H75)</f>
        <v>1161019</v>
      </c>
    </row>
    <row r="76" spans="1:9">
      <c r="A76" s="114">
        <v>4</v>
      </c>
      <c r="B76" s="115">
        <v>3</v>
      </c>
      <c r="C76" s="116" t="s">
        <v>67</v>
      </c>
      <c r="D76" s="106">
        <v>2150500</v>
      </c>
      <c r="E76" s="118">
        <v>270000</v>
      </c>
      <c r="F76" s="117">
        <f t="shared" si="0"/>
        <v>2420500</v>
      </c>
      <c r="G76" s="106">
        <v>2150400</v>
      </c>
      <c r="H76" s="118">
        <v>270000</v>
      </c>
      <c r="I76" s="117">
        <f t="shared" si="1"/>
        <v>2420400</v>
      </c>
    </row>
    <row r="77" spans="1:9">
      <c r="A77" s="114">
        <v>5</v>
      </c>
      <c r="B77" s="115">
        <v>4</v>
      </c>
      <c r="C77" s="116" t="s">
        <v>68</v>
      </c>
      <c r="D77" s="106">
        <v>1459478</v>
      </c>
      <c r="E77" s="106">
        <v>44000</v>
      </c>
      <c r="F77" s="117">
        <f t="shared" si="0"/>
        <v>1503478</v>
      </c>
      <c r="G77" s="106">
        <v>1459478</v>
      </c>
      <c r="H77" s="106">
        <v>44000</v>
      </c>
      <c r="I77" s="117">
        <f t="shared" si="1"/>
        <v>1503478</v>
      </c>
    </row>
    <row r="78" spans="1:9">
      <c r="A78" s="114">
        <v>6</v>
      </c>
      <c r="B78" s="115">
        <v>5</v>
      </c>
      <c r="C78" s="116" t="s">
        <v>69</v>
      </c>
      <c r="D78" s="106">
        <v>2102200</v>
      </c>
      <c r="E78" s="106">
        <v>157300</v>
      </c>
      <c r="F78" s="117">
        <f t="shared" si="0"/>
        <v>2259500</v>
      </c>
      <c r="G78" s="106">
        <v>2104000</v>
      </c>
      <c r="H78" s="106">
        <v>157300</v>
      </c>
      <c r="I78" s="117">
        <f t="shared" si="1"/>
        <v>2261300</v>
      </c>
    </row>
    <row r="79" spans="1:9">
      <c r="A79" s="114">
        <v>7</v>
      </c>
      <c r="B79" s="115">
        <v>6</v>
      </c>
      <c r="C79" s="116" t="s">
        <v>70</v>
      </c>
      <c r="D79" s="106">
        <v>4240000</v>
      </c>
      <c r="E79" s="106">
        <f>0</f>
        <v>0</v>
      </c>
      <c r="F79" s="117">
        <f t="shared" si="0"/>
        <v>4240000</v>
      </c>
      <c r="G79" s="106">
        <v>4337900</v>
      </c>
      <c r="H79" s="106">
        <f>0</f>
        <v>0</v>
      </c>
      <c r="I79" s="117">
        <f t="shared" si="1"/>
        <v>4337900</v>
      </c>
    </row>
    <row r="80" spans="1:9">
      <c r="A80" s="114">
        <v>8</v>
      </c>
      <c r="B80" s="115">
        <v>7</v>
      </c>
      <c r="C80" s="116" t="s">
        <v>71</v>
      </c>
      <c r="D80" s="106">
        <v>1346300</v>
      </c>
      <c r="E80" s="106">
        <v>2022500</v>
      </c>
      <c r="F80" s="117">
        <f t="shared" si="0"/>
        <v>3368800</v>
      </c>
      <c r="G80" s="106">
        <v>1346300</v>
      </c>
      <c r="H80" s="106">
        <v>2022500</v>
      </c>
      <c r="I80" s="117">
        <f t="shared" si="1"/>
        <v>3368800</v>
      </c>
    </row>
    <row r="81" spans="1:9">
      <c r="A81" s="114">
        <v>9</v>
      </c>
      <c r="B81" s="115">
        <v>8</v>
      </c>
      <c r="C81" s="116" t="s">
        <v>72</v>
      </c>
      <c r="D81" s="106">
        <v>534000</v>
      </c>
      <c r="E81" s="106">
        <v>875000</v>
      </c>
      <c r="F81" s="117">
        <f t="shared" si="0"/>
        <v>1409000</v>
      </c>
      <c r="G81" s="106">
        <f>0</f>
        <v>0</v>
      </c>
      <c r="H81" s="106">
        <f>0</f>
        <v>0</v>
      </c>
      <c r="I81" s="117">
        <f t="shared" si="1"/>
        <v>0</v>
      </c>
    </row>
    <row r="82" spans="1:9">
      <c r="A82" s="114">
        <v>10</v>
      </c>
      <c r="B82" s="115">
        <v>9</v>
      </c>
      <c r="C82" s="116" t="s">
        <v>73</v>
      </c>
      <c r="D82" s="106">
        <v>1551000</v>
      </c>
      <c r="E82" s="106">
        <v>52000</v>
      </c>
      <c r="F82" s="117">
        <f t="shared" si="0"/>
        <v>1603000</v>
      </c>
      <c r="G82" s="106">
        <v>1551000</v>
      </c>
      <c r="H82" s="106">
        <v>52000</v>
      </c>
      <c r="I82" s="117">
        <f t="shared" si="1"/>
        <v>1603000</v>
      </c>
    </row>
    <row r="83" spans="1:9">
      <c r="A83" s="114">
        <v>11</v>
      </c>
      <c r="B83" s="115">
        <v>10</v>
      </c>
      <c r="C83" s="119" t="s">
        <v>74</v>
      </c>
      <c r="D83" s="106">
        <v>308520</v>
      </c>
      <c r="E83" s="106">
        <v>48500</v>
      </c>
      <c r="F83" s="117">
        <f t="shared" si="0"/>
        <v>357020</v>
      </c>
      <c r="G83" s="106">
        <v>308520</v>
      </c>
      <c r="H83" s="106">
        <v>53000</v>
      </c>
      <c r="I83" s="117">
        <f t="shared" si="1"/>
        <v>361520</v>
      </c>
    </row>
    <row r="84" spans="1:9">
      <c r="A84" s="108" t="s">
        <v>58</v>
      </c>
      <c r="B84" s="109"/>
      <c r="C84" s="109"/>
      <c r="D84" s="110">
        <f>SUM(D74:D83)</f>
        <v>14556467</v>
      </c>
      <c r="E84" s="110">
        <f>SUM(E74:E83)</f>
        <v>3765850</v>
      </c>
      <c r="F84" s="110">
        <f>SUM(D84:E84)</f>
        <v>18322317</v>
      </c>
      <c r="G84" s="110">
        <f>SUM(G74:G83)</f>
        <v>14122067</v>
      </c>
      <c r="H84" s="110">
        <f>SUM(H74:H83)</f>
        <v>2895350</v>
      </c>
      <c r="I84" s="110">
        <f>SUM(G84:H84)</f>
        <v>17017417</v>
      </c>
    </row>
    <row r="85" spans="1:9">
      <c r="A85" s="108" t="s">
        <v>75</v>
      </c>
      <c r="B85" s="109"/>
      <c r="C85" s="109"/>
      <c r="D85" s="109"/>
      <c r="E85" s="109"/>
      <c r="F85" s="109"/>
      <c r="G85" s="109"/>
      <c r="H85" s="109"/>
      <c r="I85" s="113"/>
    </row>
    <row r="86" spans="1:9">
      <c r="A86" s="120">
        <v>12</v>
      </c>
      <c r="B86" s="119">
        <v>1</v>
      </c>
      <c r="C86" s="116" t="s">
        <v>76</v>
      </c>
      <c r="D86" s="106">
        <v>2845148</v>
      </c>
      <c r="E86" s="106">
        <v>2222215</v>
      </c>
      <c r="F86" s="117">
        <f>SUM(D86:E86)</f>
        <v>5067363</v>
      </c>
      <c r="G86" s="106">
        <v>2850223</v>
      </c>
      <c r="H86" s="106">
        <v>2053215</v>
      </c>
      <c r="I86" s="117">
        <f>SUM(G86:H86)</f>
        <v>4903438</v>
      </c>
    </row>
    <row r="87" spans="1:9">
      <c r="A87" s="120">
        <v>13</v>
      </c>
      <c r="B87" s="119">
        <v>2</v>
      </c>
      <c r="C87" s="116" t="s">
        <v>77</v>
      </c>
      <c r="D87" s="106">
        <v>3735236</v>
      </c>
      <c r="E87" s="106">
        <v>5160000</v>
      </c>
      <c r="F87" s="117">
        <f t="shared" ref="F87:F99" si="2">SUM(D87:E87)</f>
        <v>8895236</v>
      </c>
      <c r="G87" s="106">
        <v>3735236</v>
      </c>
      <c r="H87" s="106">
        <v>5160000</v>
      </c>
      <c r="I87" s="117">
        <f t="shared" ref="I87:I99" si="3">SUM(G87:H87)</f>
        <v>8895236</v>
      </c>
    </row>
    <row r="88" spans="1:9">
      <c r="A88" s="120">
        <v>14</v>
      </c>
      <c r="B88" s="119">
        <v>3</v>
      </c>
      <c r="C88" s="116" t="s">
        <v>78</v>
      </c>
      <c r="D88" s="106">
        <v>3039300</v>
      </c>
      <c r="E88" s="106">
        <v>817000</v>
      </c>
      <c r="F88" s="117">
        <f t="shared" si="2"/>
        <v>3856300</v>
      </c>
      <c r="G88" s="106">
        <v>2967300</v>
      </c>
      <c r="H88" s="106">
        <v>796000</v>
      </c>
      <c r="I88" s="117">
        <f t="shared" si="3"/>
        <v>3763300</v>
      </c>
    </row>
    <row r="89" spans="1:9">
      <c r="A89" s="120">
        <v>15</v>
      </c>
      <c r="B89" s="119">
        <v>4</v>
      </c>
      <c r="C89" s="116" t="s">
        <v>79</v>
      </c>
      <c r="D89" s="106">
        <v>966440</v>
      </c>
      <c r="E89" s="106">
        <v>1475392</v>
      </c>
      <c r="F89" s="117">
        <f t="shared" si="2"/>
        <v>2441832</v>
      </c>
      <c r="G89" s="106">
        <v>966440</v>
      </c>
      <c r="H89" s="106">
        <v>1475392</v>
      </c>
      <c r="I89" s="117">
        <f t="shared" si="3"/>
        <v>2441832</v>
      </c>
    </row>
    <row r="90" spans="1:9">
      <c r="A90" s="120">
        <v>16</v>
      </c>
      <c r="B90" s="119">
        <v>5</v>
      </c>
      <c r="C90" s="116" t="s">
        <v>80</v>
      </c>
      <c r="D90" s="106">
        <v>2852200</v>
      </c>
      <c r="E90" s="106">
        <v>110000</v>
      </c>
      <c r="F90" s="117">
        <f t="shared" si="2"/>
        <v>2962200</v>
      </c>
      <c r="G90" s="106">
        <v>2858200</v>
      </c>
      <c r="H90" s="106">
        <v>110000</v>
      </c>
      <c r="I90" s="117">
        <f t="shared" si="3"/>
        <v>2968200</v>
      </c>
    </row>
    <row r="91" spans="1:9">
      <c r="A91" s="120">
        <v>17</v>
      </c>
      <c r="B91" s="119">
        <v>6</v>
      </c>
      <c r="C91" s="116" t="s">
        <v>81</v>
      </c>
      <c r="D91" s="106">
        <v>2085500</v>
      </c>
      <c r="E91" s="106">
        <v>153000</v>
      </c>
      <c r="F91" s="117">
        <f t="shared" si="2"/>
        <v>2238500</v>
      </c>
      <c r="G91" s="106">
        <v>2085500</v>
      </c>
      <c r="H91" s="106">
        <v>153000</v>
      </c>
      <c r="I91" s="117">
        <f t="shared" si="3"/>
        <v>2238500</v>
      </c>
    </row>
    <row r="92" spans="1:9">
      <c r="A92" s="120">
        <v>18</v>
      </c>
      <c r="B92" s="119">
        <v>7</v>
      </c>
      <c r="C92" s="116" t="s">
        <v>82</v>
      </c>
      <c r="D92" s="106">
        <v>4329900</v>
      </c>
      <c r="E92" s="106">
        <v>200000</v>
      </c>
      <c r="F92" s="117">
        <f t="shared" si="2"/>
        <v>4529900</v>
      </c>
      <c r="G92" s="106">
        <v>4329900</v>
      </c>
      <c r="H92" s="106">
        <v>200000</v>
      </c>
      <c r="I92" s="117">
        <f t="shared" si="3"/>
        <v>4529900</v>
      </c>
    </row>
    <row r="93" spans="1:9">
      <c r="A93" s="120">
        <v>19</v>
      </c>
      <c r="B93" s="119">
        <v>8</v>
      </c>
      <c r="C93" s="116" t="s">
        <v>83</v>
      </c>
      <c r="D93" s="106">
        <v>1061000</v>
      </c>
      <c r="E93" s="106">
        <v>981000</v>
      </c>
      <c r="F93" s="117">
        <f t="shared" si="2"/>
        <v>2042000</v>
      </c>
      <c r="G93" s="106">
        <v>1061000</v>
      </c>
      <c r="H93" s="106">
        <v>981000</v>
      </c>
      <c r="I93" s="117">
        <f t="shared" si="3"/>
        <v>2042000</v>
      </c>
    </row>
    <row r="94" spans="1:9">
      <c r="A94" s="120">
        <v>20</v>
      </c>
      <c r="B94" s="119">
        <v>9</v>
      </c>
      <c r="C94" s="116" t="s">
        <v>84</v>
      </c>
      <c r="D94" s="106">
        <f>854000+856000</f>
        <v>1710000</v>
      </c>
      <c r="E94" s="106">
        <f>152000+152000</f>
        <v>304000</v>
      </c>
      <c r="F94" s="117">
        <f t="shared" si="2"/>
        <v>2014000</v>
      </c>
      <c r="G94" s="106">
        <v>748000</v>
      </c>
      <c r="H94" s="106">
        <v>162000</v>
      </c>
      <c r="I94" s="117">
        <f t="shared" si="3"/>
        <v>910000</v>
      </c>
    </row>
    <row r="95" spans="1:9">
      <c r="A95" s="120">
        <v>21</v>
      </c>
      <c r="B95" s="119">
        <v>10</v>
      </c>
      <c r="C95" s="116" t="s">
        <v>85</v>
      </c>
      <c r="D95" s="106">
        <v>3243741</v>
      </c>
      <c r="E95" s="106">
        <v>59000</v>
      </c>
      <c r="F95" s="117">
        <f t="shared" si="2"/>
        <v>3302741</v>
      </c>
      <c r="G95" s="106">
        <v>3245671</v>
      </c>
      <c r="H95" s="106">
        <v>59000</v>
      </c>
      <c r="I95" s="117">
        <f t="shared" si="3"/>
        <v>3304671</v>
      </c>
    </row>
    <row r="96" spans="1:9">
      <c r="A96" s="120">
        <v>22</v>
      </c>
      <c r="B96" s="119">
        <v>11</v>
      </c>
      <c r="C96" s="116" t="s">
        <v>86</v>
      </c>
      <c r="D96" s="106">
        <v>2801900</v>
      </c>
      <c r="E96" s="106">
        <v>1370000</v>
      </c>
      <c r="F96" s="117">
        <f t="shared" si="2"/>
        <v>4171900</v>
      </c>
      <c r="G96" s="106">
        <v>2759000</v>
      </c>
      <c r="H96" s="106">
        <v>1370000</v>
      </c>
      <c r="I96" s="117">
        <f t="shared" si="3"/>
        <v>4129000</v>
      </c>
    </row>
    <row r="97" spans="1:9">
      <c r="A97" s="120">
        <v>23</v>
      </c>
      <c r="B97" s="119">
        <v>12</v>
      </c>
      <c r="C97" s="116" t="s">
        <v>87</v>
      </c>
      <c r="D97" s="106">
        <v>1615000</v>
      </c>
      <c r="E97" s="106">
        <v>494159</v>
      </c>
      <c r="F97" s="117">
        <f t="shared" si="2"/>
        <v>2109159</v>
      </c>
      <c r="G97" s="106">
        <v>1615000</v>
      </c>
      <c r="H97" s="106">
        <v>504159</v>
      </c>
      <c r="I97" s="117">
        <f t="shared" si="3"/>
        <v>2119159</v>
      </c>
    </row>
    <row r="98" spans="1:9">
      <c r="A98" s="120">
        <v>24</v>
      </c>
      <c r="B98" s="119">
        <v>13</v>
      </c>
      <c r="C98" s="116" t="s">
        <v>88</v>
      </c>
      <c r="D98" s="106">
        <v>1648000</v>
      </c>
      <c r="E98" s="106">
        <v>685000</v>
      </c>
      <c r="F98" s="117">
        <f t="shared" si="2"/>
        <v>2333000</v>
      </c>
      <c r="G98" s="106">
        <v>1532500</v>
      </c>
      <c r="H98" s="106">
        <v>685000</v>
      </c>
      <c r="I98" s="117">
        <f t="shared" si="3"/>
        <v>2217500</v>
      </c>
    </row>
    <row r="99" spans="1:9">
      <c r="A99" s="120">
        <v>25</v>
      </c>
      <c r="B99" s="119">
        <v>14</v>
      </c>
      <c r="C99" s="116" t="s">
        <v>89</v>
      </c>
      <c r="D99" s="106">
        <v>178400</v>
      </c>
      <c r="E99" s="106">
        <v>284000</v>
      </c>
      <c r="F99" s="117">
        <f t="shared" si="2"/>
        <v>462400</v>
      </c>
      <c r="G99" s="106">
        <v>178400</v>
      </c>
      <c r="H99" s="106">
        <v>284000</v>
      </c>
      <c r="I99" s="117">
        <f t="shared" si="3"/>
        <v>462400</v>
      </c>
    </row>
    <row r="100" spans="1:9">
      <c r="A100" s="108" t="s">
        <v>58</v>
      </c>
      <c r="B100" s="109"/>
      <c r="C100" s="109"/>
      <c r="D100" s="110">
        <f>SUM(D86:D99)</f>
        <v>32111765</v>
      </c>
      <c r="E100" s="110">
        <f>SUM(E86:E99)</f>
        <v>14314766</v>
      </c>
      <c r="F100" s="110">
        <f>SUM(D100:E100)</f>
        <v>46426531</v>
      </c>
      <c r="G100" s="110">
        <f>SUM(G86:G99)</f>
        <v>30932370</v>
      </c>
      <c r="H100" s="110">
        <f>SUM(H86:H99)</f>
        <v>13992766</v>
      </c>
      <c r="I100" s="110">
        <f>SUM(G100:H100)</f>
        <v>44925136</v>
      </c>
    </row>
    <row r="101" spans="1:9">
      <c r="A101" s="108" t="s">
        <v>90</v>
      </c>
      <c r="B101" s="109"/>
      <c r="C101" s="109"/>
      <c r="D101" s="109"/>
      <c r="E101" s="109"/>
      <c r="F101" s="109"/>
      <c r="G101" s="109"/>
      <c r="H101" s="109"/>
      <c r="I101" s="113"/>
    </row>
    <row r="102" spans="1:9">
      <c r="A102" s="119">
        <v>26</v>
      </c>
      <c r="B102" s="119">
        <v>1</v>
      </c>
      <c r="C102" s="116" t="s">
        <v>91</v>
      </c>
      <c r="D102" s="106">
        <v>350000</v>
      </c>
      <c r="E102" s="106">
        <v>305000</v>
      </c>
      <c r="F102" s="117">
        <f>SUM(D102:E102)</f>
        <v>655000</v>
      </c>
      <c r="G102" s="106">
        <v>350000</v>
      </c>
      <c r="H102" s="106">
        <v>305000</v>
      </c>
      <c r="I102" s="117">
        <f>SUM(G102:H102)</f>
        <v>655000</v>
      </c>
    </row>
    <row r="103" spans="1:9">
      <c r="A103" s="119">
        <v>27</v>
      </c>
      <c r="B103" s="119">
        <v>2</v>
      </c>
      <c r="C103" s="121" t="s">
        <v>92</v>
      </c>
      <c r="D103" s="106">
        <f>0</f>
        <v>0</v>
      </c>
      <c r="E103" s="106">
        <f>0</f>
        <v>0</v>
      </c>
      <c r="F103" s="117">
        <f t="shared" ref="F103:F111" si="4">SUM(D103:E103)</f>
        <v>0</v>
      </c>
      <c r="G103" s="106">
        <f>0</f>
        <v>0</v>
      </c>
      <c r="H103" s="106">
        <f>0</f>
        <v>0</v>
      </c>
      <c r="I103" s="117">
        <f t="shared" ref="I103:I111" si="5">SUM(G103:H103)</f>
        <v>0</v>
      </c>
    </row>
    <row r="104" spans="1:9">
      <c r="A104" s="119">
        <v>28</v>
      </c>
      <c r="B104" s="119">
        <v>3</v>
      </c>
      <c r="C104" s="121" t="s">
        <v>93</v>
      </c>
      <c r="D104" s="106">
        <v>509000</v>
      </c>
      <c r="E104" s="106">
        <f>0</f>
        <v>0</v>
      </c>
      <c r="F104" s="117">
        <f t="shared" si="4"/>
        <v>509000</v>
      </c>
      <c r="G104" s="106">
        <f>0</f>
        <v>0</v>
      </c>
      <c r="H104" s="106">
        <f>0</f>
        <v>0</v>
      </c>
      <c r="I104" s="117">
        <f t="shared" si="5"/>
        <v>0</v>
      </c>
    </row>
    <row r="105" spans="1:9">
      <c r="A105" s="119">
        <v>29</v>
      </c>
      <c r="B105" s="119">
        <v>4</v>
      </c>
      <c r="C105" s="121" t="s">
        <v>94</v>
      </c>
      <c r="D105" s="106">
        <f>185000+185000</f>
        <v>370000</v>
      </c>
      <c r="E105" s="106">
        <f>250000+250000</f>
        <v>500000</v>
      </c>
      <c r="F105" s="117">
        <f t="shared" si="4"/>
        <v>870000</v>
      </c>
      <c r="G105" s="106">
        <f>0</f>
        <v>0</v>
      </c>
      <c r="H105" s="106">
        <f>0</f>
        <v>0</v>
      </c>
      <c r="I105" s="117">
        <f t="shared" si="5"/>
        <v>0</v>
      </c>
    </row>
    <row r="106" spans="1:9">
      <c r="A106" s="119">
        <v>30</v>
      </c>
      <c r="B106" s="119">
        <v>5</v>
      </c>
      <c r="C106" s="121" t="s">
        <v>95</v>
      </c>
      <c r="D106" s="106">
        <v>148000</v>
      </c>
      <c r="E106" s="106">
        <v>260000</v>
      </c>
      <c r="F106" s="117">
        <f t="shared" si="4"/>
        <v>408000</v>
      </c>
      <c r="G106" s="106">
        <v>148000</v>
      </c>
      <c r="H106" s="106">
        <v>260000</v>
      </c>
      <c r="I106" s="117">
        <f t="shared" si="5"/>
        <v>408000</v>
      </c>
    </row>
    <row r="107" spans="1:9">
      <c r="A107" s="119">
        <v>31</v>
      </c>
      <c r="B107" s="119">
        <v>6</v>
      </c>
      <c r="C107" s="121" t="s">
        <v>96</v>
      </c>
      <c r="D107" s="106">
        <v>419500</v>
      </c>
      <c r="E107" s="106">
        <v>42000</v>
      </c>
      <c r="F107" s="117">
        <f t="shared" si="4"/>
        <v>461500</v>
      </c>
      <c r="G107" s="106">
        <v>419500</v>
      </c>
      <c r="H107" s="106">
        <v>42000</v>
      </c>
      <c r="I107" s="117">
        <f t="shared" si="5"/>
        <v>461500</v>
      </c>
    </row>
    <row r="108" spans="1:9">
      <c r="A108" s="119">
        <v>32</v>
      </c>
      <c r="B108" s="119">
        <v>7</v>
      </c>
      <c r="C108" s="121" t="s">
        <v>97</v>
      </c>
      <c r="D108" s="106">
        <v>673500</v>
      </c>
      <c r="E108" s="106">
        <v>337500</v>
      </c>
      <c r="F108" s="117">
        <f t="shared" si="4"/>
        <v>1011000</v>
      </c>
      <c r="G108" s="106">
        <v>673500</v>
      </c>
      <c r="H108" s="106">
        <v>337500</v>
      </c>
      <c r="I108" s="117">
        <f t="shared" si="5"/>
        <v>1011000</v>
      </c>
    </row>
    <row r="109" spans="1:9">
      <c r="A109" s="119">
        <v>33</v>
      </c>
      <c r="B109" s="119">
        <v>8</v>
      </c>
      <c r="C109" s="121" t="s">
        <v>98</v>
      </c>
      <c r="D109" s="106">
        <v>457400</v>
      </c>
      <c r="E109" s="106">
        <v>84000</v>
      </c>
      <c r="F109" s="117">
        <f t="shared" si="4"/>
        <v>541400</v>
      </c>
      <c r="G109" s="106">
        <v>457400</v>
      </c>
      <c r="H109" s="106">
        <v>84000</v>
      </c>
      <c r="I109" s="117">
        <f t="shared" si="5"/>
        <v>541400</v>
      </c>
    </row>
    <row r="110" spans="1:9">
      <c r="A110" s="119">
        <v>34</v>
      </c>
      <c r="B110" s="119">
        <v>9</v>
      </c>
      <c r="C110" s="122" t="s">
        <v>99</v>
      </c>
      <c r="D110" s="106">
        <v>623800</v>
      </c>
      <c r="E110" s="106">
        <v>233000</v>
      </c>
      <c r="F110" s="117">
        <f t="shared" si="4"/>
        <v>856800</v>
      </c>
      <c r="G110" s="106">
        <v>623800</v>
      </c>
      <c r="H110" s="106">
        <v>233000</v>
      </c>
      <c r="I110" s="117">
        <f t="shared" si="5"/>
        <v>856800</v>
      </c>
    </row>
    <row r="111" spans="1:9">
      <c r="A111" s="119">
        <v>35</v>
      </c>
      <c r="B111" s="119">
        <v>10</v>
      </c>
      <c r="C111" s="121" t="s">
        <v>100</v>
      </c>
      <c r="D111" s="106">
        <f>0</f>
        <v>0</v>
      </c>
      <c r="E111" s="106">
        <f>0</f>
        <v>0</v>
      </c>
      <c r="F111" s="117">
        <f t="shared" si="4"/>
        <v>0</v>
      </c>
      <c r="G111" s="106">
        <f>0</f>
        <v>0</v>
      </c>
      <c r="H111" s="106">
        <f>0</f>
        <v>0</v>
      </c>
      <c r="I111" s="117">
        <f t="shared" si="5"/>
        <v>0</v>
      </c>
    </row>
    <row r="112" spans="1:9">
      <c r="A112" s="108" t="s">
        <v>101</v>
      </c>
      <c r="B112" s="109"/>
      <c r="C112" s="123"/>
      <c r="D112" s="110">
        <f>SUM(D102:D111)</f>
        <v>3551200</v>
      </c>
      <c r="E112" s="110">
        <f>SUM(E102:E111)</f>
        <v>1761500</v>
      </c>
      <c r="F112" s="110">
        <f>SUM(D112:E112)</f>
        <v>5312700</v>
      </c>
      <c r="G112" s="110">
        <f>SUM(G102:G111)</f>
        <v>2672200</v>
      </c>
      <c r="H112" s="110">
        <f>SUM(H102:H111)</f>
        <v>1261500</v>
      </c>
      <c r="I112" s="110">
        <f>SUM(G112:H112)</f>
        <v>3933700</v>
      </c>
    </row>
    <row r="113" spans="1:9">
      <c r="A113" s="108" t="s">
        <v>102</v>
      </c>
      <c r="B113" s="109"/>
      <c r="C113" s="109"/>
      <c r="D113" s="109"/>
      <c r="E113" s="109"/>
      <c r="F113" s="109"/>
      <c r="G113" s="109"/>
      <c r="H113" s="109"/>
      <c r="I113" s="113"/>
    </row>
    <row r="114" spans="1:9">
      <c r="A114" s="119">
        <v>36</v>
      </c>
      <c r="B114" s="119">
        <v>1</v>
      </c>
      <c r="C114" s="116" t="s">
        <v>103</v>
      </c>
      <c r="D114" s="106">
        <v>70000</v>
      </c>
      <c r="E114" s="106">
        <v>40000</v>
      </c>
      <c r="F114" s="117">
        <f>SUM(D114:E114)</f>
        <v>110000</v>
      </c>
      <c r="G114" s="106">
        <v>165000</v>
      </c>
      <c r="H114" s="106">
        <v>40000</v>
      </c>
      <c r="I114" s="117">
        <f>SUM(G114:H114)</f>
        <v>205000</v>
      </c>
    </row>
    <row r="115" spans="1:9">
      <c r="A115" s="119">
        <v>37</v>
      </c>
      <c r="B115" s="119">
        <v>2</v>
      </c>
      <c r="C115" s="116" t="s">
        <v>104</v>
      </c>
      <c r="D115" s="106">
        <v>666000</v>
      </c>
      <c r="E115" s="106">
        <v>680000</v>
      </c>
      <c r="F115" s="117">
        <f>SUM(D115:E115)</f>
        <v>1346000</v>
      </c>
      <c r="G115" s="106">
        <f>0</f>
        <v>0</v>
      </c>
      <c r="H115" s="106">
        <f>0</f>
        <v>0</v>
      </c>
      <c r="I115" s="117">
        <f>SUM(G115:H115)</f>
        <v>0</v>
      </c>
    </row>
    <row r="116" spans="1:9">
      <c r="A116" s="119">
        <v>38</v>
      </c>
      <c r="B116" s="119">
        <v>3</v>
      </c>
      <c r="C116" s="116" t="s">
        <v>105</v>
      </c>
      <c r="D116" s="106">
        <v>1253000</v>
      </c>
      <c r="E116" s="106">
        <f>0</f>
        <v>0</v>
      </c>
      <c r="F116" s="117">
        <f>SUM(D116:E116)</f>
        <v>1253000</v>
      </c>
      <c r="G116" s="106">
        <v>1253000</v>
      </c>
      <c r="H116" s="106">
        <f>0</f>
        <v>0</v>
      </c>
      <c r="I116" s="117">
        <f>SUM(G116:H116)</f>
        <v>1253000</v>
      </c>
    </row>
    <row r="117" spans="1:9">
      <c r="A117" s="119">
        <v>39</v>
      </c>
      <c r="B117" s="119">
        <v>5</v>
      </c>
      <c r="C117" s="116" t="s">
        <v>106</v>
      </c>
      <c r="D117" s="106">
        <v>288400</v>
      </c>
      <c r="E117" s="106">
        <v>120000</v>
      </c>
      <c r="F117" s="117">
        <f>SUM(D117:E117)</f>
        <v>408400</v>
      </c>
      <c r="G117" s="106">
        <v>288400</v>
      </c>
      <c r="H117" s="106">
        <v>120000</v>
      </c>
      <c r="I117" s="117">
        <f>SUM(G117:H117)</f>
        <v>408400</v>
      </c>
    </row>
    <row r="118" spans="1:9">
      <c r="A118" s="108" t="s">
        <v>58</v>
      </c>
      <c r="B118" s="109"/>
      <c r="C118" s="109"/>
      <c r="D118" s="110">
        <f>SUM(D114:D117)</f>
        <v>2277400</v>
      </c>
      <c r="E118" s="110">
        <f>SUM(E114:E117)</f>
        <v>840000</v>
      </c>
      <c r="F118" s="110">
        <f>SUM(D118:E118)</f>
        <v>3117400</v>
      </c>
      <c r="G118" s="110">
        <f>SUM(G114:G117)</f>
        <v>1706400</v>
      </c>
      <c r="H118" s="110">
        <f>SUM(H114:H117)</f>
        <v>160000</v>
      </c>
      <c r="I118" s="110">
        <f>SUM(G118:H118)</f>
        <v>1866400</v>
      </c>
    </row>
    <row r="119" spans="1:9">
      <c r="A119" s="108" t="s">
        <v>107</v>
      </c>
      <c r="B119" s="109"/>
      <c r="C119" s="109"/>
      <c r="D119" s="109"/>
      <c r="E119" s="109"/>
      <c r="F119" s="109"/>
      <c r="G119" s="109"/>
      <c r="H119" s="109"/>
      <c r="I119" s="113"/>
    </row>
    <row r="120" spans="1:9">
      <c r="A120" s="119">
        <v>40</v>
      </c>
      <c r="B120" s="119">
        <v>1</v>
      </c>
      <c r="C120" s="119" t="s">
        <v>108</v>
      </c>
      <c r="D120" s="106">
        <v>500000</v>
      </c>
      <c r="E120" s="106">
        <v>100000</v>
      </c>
      <c r="F120" s="117">
        <f>SUM(D120:E120)</f>
        <v>600000</v>
      </c>
      <c r="G120" s="106">
        <v>500000</v>
      </c>
      <c r="H120" s="106">
        <v>100000</v>
      </c>
      <c r="I120" s="117">
        <f>SUM(G120:H120)</f>
        <v>600000</v>
      </c>
    </row>
    <row r="121" spans="1:9">
      <c r="A121" s="108" t="s">
        <v>101</v>
      </c>
      <c r="B121" s="109"/>
      <c r="C121" s="109"/>
      <c r="D121" s="110">
        <f>D120</f>
        <v>500000</v>
      </c>
      <c r="E121" s="110">
        <f>E120</f>
        <v>100000</v>
      </c>
      <c r="F121" s="110">
        <f>SUM(D121:E121)</f>
        <v>600000</v>
      </c>
      <c r="G121" s="110">
        <f>G120</f>
        <v>500000</v>
      </c>
      <c r="H121" s="110">
        <f>H120</f>
        <v>100000</v>
      </c>
      <c r="I121" s="110">
        <f>SUM(G121:H121)</f>
        <v>600000</v>
      </c>
    </row>
    <row r="122" spans="1:9">
      <c r="A122" s="108" t="s">
        <v>109</v>
      </c>
      <c r="B122" s="109"/>
      <c r="C122" s="109"/>
      <c r="D122" s="109"/>
      <c r="E122" s="109"/>
      <c r="F122" s="109"/>
      <c r="G122" s="109"/>
      <c r="H122" s="109"/>
      <c r="I122" s="113"/>
    </row>
    <row r="123" spans="1:9">
      <c r="A123" s="119">
        <v>41</v>
      </c>
      <c r="B123" s="119">
        <v>1</v>
      </c>
      <c r="C123" s="121" t="s">
        <v>110</v>
      </c>
      <c r="D123" s="106">
        <v>1687761</v>
      </c>
      <c r="E123" s="106">
        <v>513400</v>
      </c>
      <c r="F123" s="117">
        <f>SUM(D123:E123)</f>
        <v>2201161</v>
      </c>
      <c r="G123" s="106">
        <v>1689705</v>
      </c>
      <c r="H123" s="106">
        <v>513400</v>
      </c>
      <c r="I123" s="117">
        <f>SUM(G123:H123)</f>
        <v>2203105</v>
      </c>
    </row>
    <row r="124" spans="1:9">
      <c r="A124" s="108" t="s">
        <v>101</v>
      </c>
      <c r="B124" s="109"/>
      <c r="C124" s="109"/>
      <c r="D124" s="110">
        <f>D123</f>
        <v>1687761</v>
      </c>
      <c r="E124" s="110">
        <f>E123</f>
        <v>513400</v>
      </c>
      <c r="F124" s="110">
        <f>SUM(D124:E124)</f>
        <v>2201161</v>
      </c>
      <c r="G124" s="110">
        <f>G123</f>
        <v>1689705</v>
      </c>
      <c r="H124" s="110">
        <f>H123</f>
        <v>513400</v>
      </c>
      <c r="I124" s="110">
        <f>SUM(G124:H124)</f>
        <v>2203105</v>
      </c>
    </row>
    <row r="125" spans="1:9">
      <c r="A125" s="108" t="s">
        <v>111</v>
      </c>
      <c r="B125" s="109"/>
      <c r="C125" s="109"/>
      <c r="D125" s="109"/>
      <c r="E125" s="109"/>
      <c r="F125" s="109"/>
      <c r="G125" s="109"/>
      <c r="H125" s="109"/>
      <c r="I125" s="113"/>
    </row>
    <row r="126" spans="1:9">
      <c r="A126" s="119">
        <v>42</v>
      </c>
      <c r="B126" s="119">
        <v>1</v>
      </c>
      <c r="C126" s="121" t="s">
        <v>112</v>
      </c>
      <c r="D126" s="106">
        <v>1672500</v>
      </c>
      <c r="E126" s="106">
        <v>649500</v>
      </c>
      <c r="F126" s="117">
        <f>SUM(D126:E126)</f>
        <v>2322000</v>
      </c>
      <c r="G126" s="106">
        <v>1672500</v>
      </c>
      <c r="H126" s="106">
        <v>649500</v>
      </c>
      <c r="I126" s="117">
        <f>SUM(G126:H126)</f>
        <v>2322000</v>
      </c>
    </row>
    <row r="127" spans="1:9">
      <c r="A127" s="119">
        <v>43</v>
      </c>
      <c r="B127" s="119">
        <v>2</v>
      </c>
      <c r="C127" s="121" t="s">
        <v>113</v>
      </c>
      <c r="D127" s="106">
        <f>0</f>
        <v>0</v>
      </c>
      <c r="E127" s="106">
        <v>330000</v>
      </c>
      <c r="F127" s="117">
        <f t="shared" ref="F127:F138" si="6">SUM(D127:E127)</f>
        <v>330000</v>
      </c>
      <c r="G127" s="106">
        <f>0</f>
        <v>0</v>
      </c>
      <c r="H127" s="106">
        <v>330000</v>
      </c>
      <c r="I127" s="117">
        <f t="shared" ref="I127:I145" si="7">SUM(G127:H127)</f>
        <v>330000</v>
      </c>
    </row>
    <row r="128" spans="1:9">
      <c r="A128" s="119">
        <v>44</v>
      </c>
      <c r="B128" s="119">
        <v>3</v>
      </c>
      <c r="C128" s="121" t="s">
        <v>114</v>
      </c>
      <c r="D128" s="106">
        <v>1623000</v>
      </c>
      <c r="E128" s="106">
        <f>0</f>
        <v>0</v>
      </c>
      <c r="F128" s="117">
        <f t="shared" si="6"/>
        <v>1623000</v>
      </c>
      <c r="G128" s="106">
        <v>1623000</v>
      </c>
      <c r="H128" s="106">
        <f>0</f>
        <v>0</v>
      </c>
      <c r="I128" s="117">
        <f t="shared" si="7"/>
        <v>1623000</v>
      </c>
    </row>
    <row r="129" spans="1:9">
      <c r="A129" s="119">
        <v>45</v>
      </c>
      <c r="B129" s="124">
        <v>4</v>
      </c>
      <c r="C129" s="125" t="s">
        <v>115</v>
      </c>
      <c r="D129" s="106">
        <f>0</f>
        <v>0</v>
      </c>
      <c r="E129" s="106">
        <f>0</f>
        <v>0</v>
      </c>
      <c r="F129" s="117">
        <f t="shared" si="6"/>
        <v>0</v>
      </c>
      <c r="G129" s="106">
        <f>0</f>
        <v>0</v>
      </c>
      <c r="H129" s="106">
        <f>0</f>
        <v>0</v>
      </c>
      <c r="I129" s="117">
        <f t="shared" si="7"/>
        <v>0</v>
      </c>
    </row>
    <row r="130" spans="1:9">
      <c r="A130" s="119">
        <v>46</v>
      </c>
      <c r="B130" s="119">
        <v>5</v>
      </c>
      <c r="C130" s="125" t="s">
        <v>116</v>
      </c>
      <c r="D130" s="106">
        <v>505700</v>
      </c>
      <c r="E130" s="106">
        <v>161000</v>
      </c>
      <c r="F130" s="117">
        <f t="shared" si="6"/>
        <v>666700</v>
      </c>
      <c r="G130" s="106">
        <v>505700</v>
      </c>
      <c r="H130" s="106">
        <v>161000</v>
      </c>
      <c r="I130" s="117">
        <f t="shared" si="7"/>
        <v>666700</v>
      </c>
    </row>
    <row r="131" spans="1:9">
      <c r="A131" s="119">
        <v>47</v>
      </c>
      <c r="B131" s="119">
        <v>6</v>
      </c>
      <c r="C131" s="125" t="s">
        <v>117</v>
      </c>
      <c r="D131" s="106">
        <v>801817</v>
      </c>
      <c r="E131" s="106">
        <v>135000</v>
      </c>
      <c r="F131" s="117">
        <f t="shared" si="6"/>
        <v>936817</v>
      </c>
      <c r="G131" s="106">
        <v>801817</v>
      </c>
      <c r="H131" s="106">
        <v>135000</v>
      </c>
      <c r="I131" s="117">
        <f t="shared" si="7"/>
        <v>936817</v>
      </c>
    </row>
    <row r="132" spans="1:9">
      <c r="A132" s="119">
        <v>48</v>
      </c>
      <c r="B132" s="119">
        <v>7</v>
      </c>
      <c r="C132" s="125" t="s">
        <v>118</v>
      </c>
      <c r="D132" s="106">
        <v>718000</v>
      </c>
      <c r="E132" s="106">
        <v>140000</v>
      </c>
      <c r="F132" s="117">
        <f t="shared" si="6"/>
        <v>858000</v>
      </c>
      <c r="G132" s="106">
        <v>718000</v>
      </c>
      <c r="H132" s="106">
        <v>150000</v>
      </c>
      <c r="I132" s="117">
        <f t="shared" si="7"/>
        <v>868000</v>
      </c>
    </row>
    <row r="133" spans="1:9">
      <c r="A133" s="119">
        <v>49</v>
      </c>
      <c r="B133" s="119">
        <v>8</v>
      </c>
      <c r="C133" s="121" t="s">
        <v>119</v>
      </c>
      <c r="D133" s="106">
        <v>615000</v>
      </c>
      <c r="E133" s="106">
        <v>135000</v>
      </c>
      <c r="F133" s="117">
        <f t="shared" si="6"/>
        <v>750000</v>
      </c>
      <c r="G133" s="106">
        <v>615000</v>
      </c>
      <c r="H133" s="106">
        <v>185000</v>
      </c>
      <c r="I133" s="117">
        <f t="shared" si="7"/>
        <v>800000</v>
      </c>
    </row>
    <row r="134" spans="1:9">
      <c r="A134" s="119">
        <v>50</v>
      </c>
      <c r="B134" s="119">
        <v>9</v>
      </c>
      <c r="C134" s="121" t="s">
        <v>120</v>
      </c>
      <c r="D134" s="106">
        <v>554000</v>
      </c>
      <c r="E134" s="106">
        <v>221000</v>
      </c>
      <c r="F134" s="117">
        <f t="shared" si="6"/>
        <v>775000</v>
      </c>
      <c r="G134" s="106">
        <v>554000</v>
      </c>
      <c r="H134" s="106">
        <v>220000</v>
      </c>
      <c r="I134" s="117">
        <f t="shared" si="7"/>
        <v>774000</v>
      </c>
    </row>
    <row r="135" spans="1:9">
      <c r="A135" s="119">
        <v>51</v>
      </c>
      <c r="B135" s="119">
        <v>10</v>
      </c>
      <c r="C135" s="121" t="s">
        <v>121</v>
      </c>
      <c r="D135" s="106">
        <f>0</f>
        <v>0</v>
      </c>
      <c r="E135" s="106">
        <v>608335</v>
      </c>
      <c r="F135" s="117">
        <f t="shared" si="6"/>
        <v>608335</v>
      </c>
      <c r="G135" s="106">
        <f>0</f>
        <v>0</v>
      </c>
      <c r="H135" s="106">
        <v>608335</v>
      </c>
      <c r="I135" s="117">
        <f t="shared" si="7"/>
        <v>608335</v>
      </c>
    </row>
    <row r="136" spans="1:9">
      <c r="A136" s="119">
        <v>52</v>
      </c>
      <c r="B136" s="119">
        <v>11</v>
      </c>
      <c r="C136" s="121" t="s">
        <v>122</v>
      </c>
      <c r="D136" s="106">
        <v>1430000</v>
      </c>
      <c r="E136" s="106">
        <f>0</f>
        <v>0</v>
      </c>
      <c r="F136" s="117">
        <f t="shared" si="6"/>
        <v>1430000</v>
      </c>
      <c r="G136" s="106">
        <v>1430000</v>
      </c>
      <c r="H136" s="106">
        <f>0</f>
        <v>0</v>
      </c>
      <c r="I136" s="117">
        <f t="shared" si="7"/>
        <v>1430000</v>
      </c>
    </row>
    <row r="137" spans="1:9">
      <c r="A137" s="119">
        <v>53</v>
      </c>
      <c r="B137" s="119">
        <v>12</v>
      </c>
      <c r="C137" s="121" t="s">
        <v>123</v>
      </c>
      <c r="D137" s="106">
        <v>1882635</v>
      </c>
      <c r="E137" s="106">
        <f>0</f>
        <v>0</v>
      </c>
      <c r="F137" s="117">
        <f t="shared" si="6"/>
        <v>1882635</v>
      </c>
      <c r="G137" s="106">
        <v>1892000</v>
      </c>
      <c r="H137" s="106">
        <f>0</f>
        <v>0</v>
      </c>
      <c r="I137" s="117">
        <f t="shared" si="7"/>
        <v>1892000</v>
      </c>
    </row>
    <row r="138" spans="1:9">
      <c r="A138" s="119">
        <v>54</v>
      </c>
      <c r="B138" s="119">
        <v>13</v>
      </c>
      <c r="C138" s="121" t="s">
        <v>124</v>
      </c>
      <c r="D138" s="106">
        <v>525000</v>
      </c>
      <c r="E138" s="106">
        <v>175000</v>
      </c>
      <c r="F138" s="117">
        <f t="shared" si="6"/>
        <v>700000</v>
      </c>
      <c r="G138" s="106">
        <v>826500</v>
      </c>
      <c r="H138" s="106">
        <v>173500</v>
      </c>
      <c r="I138" s="117">
        <f t="shared" si="7"/>
        <v>1000000</v>
      </c>
    </row>
    <row r="139" spans="1:9">
      <c r="A139" s="119">
        <v>55</v>
      </c>
      <c r="B139" s="119">
        <v>14</v>
      </c>
      <c r="C139" s="121" t="s">
        <v>125</v>
      </c>
      <c r="D139" s="106">
        <v>229000</v>
      </c>
      <c r="E139" s="106">
        <v>160000</v>
      </c>
      <c r="F139" s="117">
        <f>SUM(D139:E139)</f>
        <v>389000</v>
      </c>
      <c r="G139" s="106">
        <v>229000</v>
      </c>
      <c r="H139" s="106">
        <v>160000</v>
      </c>
      <c r="I139" s="117">
        <f>SUM(G139:H139)</f>
        <v>389000</v>
      </c>
    </row>
    <row r="140" spans="1:9">
      <c r="A140" s="119">
        <v>56</v>
      </c>
      <c r="B140" s="119">
        <v>15</v>
      </c>
      <c r="C140" s="121" t="s">
        <v>126</v>
      </c>
      <c r="D140" s="106">
        <f>0</f>
        <v>0</v>
      </c>
      <c r="E140" s="106">
        <f>0</f>
        <v>0</v>
      </c>
      <c r="F140" s="117">
        <f t="shared" ref="F140:F145" si="8">SUM(D140:E140)</f>
        <v>0</v>
      </c>
      <c r="G140" s="106">
        <f>0</f>
        <v>0</v>
      </c>
      <c r="H140" s="106">
        <f>0</f>
        <v>0</v>
      </c>
      <c r="I140" s="117">
        <f t="shared" si="7"/>
        <v>0</v>
      </c>
    </row>
    <row r="141" spans="1:9">
      <c r="A141" s="119">
        <v>57</v>
      </c>
      <c r="B141" s="119">
        <v>16</v>
      </c>
      <c r="C141" s="121" t="s">
        <v>127</v>
      </c>
      <c r="D141" s="106">
        <f>0</f>
        <v>0</v>
      </c>
      <c r="E141" s="106">
        <f>0</f>
        <v>0</v>
      </c>
      <c r="F141" s="117">
        <f t="shared" si="8"/>
        <v>0</v>
      </c>
      <c r="G141" s="106">
        <v>1150000</v>
      </c>
      <c r="H141" s="106">
        <f>0</f>
        <v>0</v>
      </c>
      <c r="I141" s="117">
        <f t="shared" si="7"/>
        <v>1150000</v>
      </c>
    </row>
    <row r="142" spans="1:9">
      <c r="A142" s="119">
        <v>58</v>
      </c>
      <c r="B142" s="119">
        <v>17</v>
      </c>
      <c r="C142" s="121" t="s">
        <v>128</v>
      </c>
      <c r="D142" s="106">
        <f>0</f>
        <v>0</v>
      </c>
      <c r="E142" s="106">
        <v>665000</v>
      </c>
      <c r="F142" s="117">
        <f t="shared" si="8"/>
        <v>665000</v>
      </c>
      <c r="G142" s="106">
        <v>765000</v>
      </c>
      <c r="H142" s="106">
        <f>0</f>
        <v>0</v>
      </c>
      <c r="I142" s="117">
        <f t="shared" si="7"/>
        <v>765000</v>
      </c>
    </row>
    <row r="143" spans="1:9">
      <c r="A143" s="119">
        <v>59</v>
      </c>
      <c r="B143" s="119">
        <v>18</v>
      </c>
      <c r="C143" s="121" t="s">
        <v>129</v>
      </c>
      <c r="D143" s="106">
        <v>1246938</v>
      </c>
      <c r="E143" s="106">
        <v>120000</v>
      </c>
      <c r="F143" s="117">
        <f t="shared" si="8"/>
        <v>1366938</v>
      </c>
      <c r="G143" s="106">
        <v>1246938</v>
      </c>
      <c r="H143" s="106">
        <v>120000</v>
      </c>
      <c r="I143" s="117">
        <f t="shared" si="7"/>
        <v>1366938</v>
      </c>
    </row>
    <row r="144" spans="1:9">
      <c r="A144" s="119">
        <v>60</v>
      </c>
      <c r="B144" s="119">
        <v>19</v>
      </c>
      <c r="C144" s="121" t="s">
        <v>130</v>
      </c>
      <c r="D144" s="106">
        <v>332750</v>
      </c>
      <c r="E144" s="106">
        <f>0</f>
        <v>0</v>
      </c>
      <c r="F144" s="117">
        <f t="shared" si="8"/>
        <v>332750</v>
      </c>
      <c r="G144" s="106">
        <v>162750</v>
      </c>
      <c r="H144" s="106">
        <v>270000</v>
      </c>
      <c r="I144" s="117">
        <f t="shared" si="7"/>
        <v>432750</v>
      </c>
    </row>
    <row r="145" spans="1:9">
      <c r="A145" s="119">
        <v>61</v>
      </c>
      <c r="B145" s="119">
        <v>20</v>
      </c>
      <c r="C145" s="121" t="s">
        <v>131</v>
      </c>
      <c r="D145" s="106">
        <v>616413</v>
      </c>
      <c r="E145" s="106">
        <v>312100</v>
      </c>
      <c r="F145" s="117">
        <f t="shared" si="8"/>
        <v>928513</v>
      </c>
      <c r="G145" s="106">
        <v>616413</v>
      </c>
      <c r="H145" s="106">
        <v>312100</v>
      </c>
      <c r="I145" s="117">
        <f t="shared" si="7"/>
        <v>928513</v>
      </c>
    </row>
    <row r="146" spans="1:9">
      <c r="A146" s="108" t="s">
        <v>58</v>
      </c>
      <c r="B146" s="109"/>
      <c r="C146" s="109"/>
      <c r="D146" s="110">
        <f>SUM(D126:D145)</f>
        <v>12752753</v>
      </c>
      <c r="E146" s="110">
        <f>SUM(E126:E145)</f>
        <v>3811935</v>
      </c>
      <c r="F146" s="110">
        <f>SUM(D146:E146)</f>
        <v>16564688</v>
      </c>
      <c r="G146" s="110">
        <f>SUM(G126:G145)</f>
        <v>14808618</v>
      </c>
      <c r="H146" s="110">
        <f>SUM(H126:H145)</f>
        <v>3474435</v>
      </c>
      <c r="I146" s="110">
        <f>SUM(G146:H146)</f>
        <v>18283053</v>
      </c>
    </row>
    <row r="147" spans="1:9">
      <c r="A147" s="126" t="s">
        <v>132</v>
      </c>
      <c r="B147" s="127"/>
      <c r="C147" s="127"/>
      <c r="D147" s="127"/>
      <c r="E147" s="127"/>
      <c r="F147" s="127"/>
      <c r="G147" s="127"/>
      <c r="H147" s="127"/>
      <c r="I147" s="128"/>
    </row>
    <row r="148" spans="1:9">
      <c r="A148" s="119">
        <v>62</v>
      </c>
      <c r="B148" s="119">
        <v>1</v>
      </c>
      <c r="C148" s="125" t="s">
        <v>133</v>
      </c>
      <c r="D148" s="106">
        <v>1476960</v>
      </c>
      <c r="E148" s="106">
        <v>871900</v>
      </c>
      <c r="F148" s="117">
        <f>SUM(D148:E148)</f>
        <v>2348860</v>
      </c>
      <c r="G148" s="106">
        <v>1476960</v>
      </c>
      <c r="H148" s="106">
        <v>861900</v>
      </c>
      <c r="I148" s="117">
        <f>SUM(G148:H148)</f>
        <v>2338860</v>
      </c>
    </row>
    <row r="149" spans="1:9">
      <c r="A149" s="119">
        <v>63</v>
      </c>
      <c r="B149" s="119">
        <v>2</v>
      </c>
      <c r="C149" s="125" t="s">
        <v>134</v>
      </c>
      <c r="D149" s="106">
        <v>333000</v>
      </c>
      <c r="E149" s="106">
        <v>291500</v>
      </c>
      <c r="F149" s="117">
        <f t="shared" ref="F149:F167" si="9">SUM(D149:E149)</f>
        <v>624500</v>
      </c>
      <c r="G149" s="106">
        <v>333000</v>
      </c>
      <c r="H149" s="106">
        <v>291500</v>
      </c>
      <c r="I149" s="117">
        <f t="shared" ref="I149:I167" si="10">SUM(G149:H149)</f>
        <v>624500</v>
      </c>
    </row>
    <row r="150" spans="1:9">
      <c r="A150" s="119">
        <v>64</v>
      </c>
      <c r="B150" s="119">
        <v>3</v>
      </c>
      <c r="C150" s="125" t="s">
        <v>135</v>
      </c>
      <c r="D150" s="106">
        <f>0</f>
        <v>0</v>
      </c>
      <c r="E150" s="106">
        <f>0</f>
        <v>0</v>
      </c>
      <c r="F150" s="117">
        <f t="shared" si="9"/>
        <v>0</v>
      </c>
      <c r="G150" s="106">
        <v>1425700</v>
      </c>
      <c r="H150" s="106">
        <v>1257500</v>
      </c>
      <c r="I150" s="117">
        <f t="shared" si="10"/>
        <v>2683200</v>
      </c>
    </row>
    <row r="151" spans="1:9">
      <c r="A151" s="119">
        <v>65</v>
      </c>
      <c r="B151" s="119">
        <v>4</v>
      </c>
      <c r="C151" s="125" t="s">
        <v>136</v>
      </c>
      <c r="D151" s="106">
        <f>0</f>
        <v>0</v>
      </c>
      <c r="E151" s="106">
        <v>290000</v>
      </c>
      <c r="F151" s="117">
        <f t="shared" si="9"/>
        <v>290000</v>
      </c>
      <c r="G151" s="106">
        <v>290000</v>
      </c>
      <c r="H151" s="106">
        <f>0</f>
        <v>0</v>
      </c>
      <c r="I151" s="117">
        <f t="shared" si="10"/>
        <v>290000</v>
      </c>
    </row>
    <row r="152" spans="1:9">
      <c r="A152" s="119">
        <v>66</v>
      </c>
      <c r="B152" s="119">
        <v>5</v>
      </c>
      <c r="C152" s="129" t="s">
        <v>137</v>
      </c>
      <c r="D152" s="106">
        <v>1062000</v>
      </c>
      <c r="E152" s="106">
        <v>300000</v>
      </c>
      <c r="F152" s="117">
        <f t="shared" si="9"/>
        <v>1362000</v>
      </c>
      <c r="G152" s="106">
        <f>0</f>
        <v>0</v>
      </c>
      <c r="H152" s="106">
        <f>0</f>
        <v>0</v>
      </c>
      <c r="I152" s="117">
        <f t="shared" si="10"/>
        <v>0</v>
      </c>
    </row>
    <row r="153" spans="1:9">
      <c r="A153" s="119">
        <v>67</v>
      </c>
      <c r="B153" s="119">
        <v>6</v>
      </c>
      <c r="C153" s="125" t="s">
        <v>138</v>
      </c>
      <c r="D153" s="106">
        <v>794000</v>
      </c>
      <c r="E153" s="106">
        <v>1486000</v>
      </c>
      <c r="F153" s="117">
        <f t="shared" si="9"/>
        <v>2280000</v>
      </c>
      <c r="G153" s="106">
        <v>794000</v>
      </c>
      <c r="H153" s="106">
        <v>1466000</v>
      </c>
      <c r="I153" s="117">
        <f t="shared" si="10"/>
        <v>2260000</v>
      </c>
    </row>
    <row r="154" spans="1:9">
      <c r="A154" s="119">
        <v>68</v>
      </c>
      <c r="B154" s="119">
        <v>7</v>
      </c>
      <c r="C154" s="125" t="s">
        <v>139</v>
      </c>
      <c r="D154" s="106">
        <v>320000</v>
      </c>
      <c r="E154" s="106">
        <v>402000</v>
      </c>
      <c r="F154" s="117">
        <f t="shared" si="9"/>
        <v>722000</v>
      </c>
      <c r="G154" s="106">
        <v>320000</v>
      </c>
      <c r="H154" s="106">
        <v>402000</v>
      </c>
      <c r="I154" s="117">
        <f t="shared" si="10"/>
        <v>722000</v>
      </c>
    </row>
    <row r="155" spans="1:9">
      <c r="A155" s="119">
        <v>69</v>
      </c>
      <c r="B155" s="119">
        <v>8</v>
      </c>
      <c r="C155" s="125" t="s">
        <v>140</v>
      </c>
      <c r="D155" s="106">
        <v>561675</v>
      </c>
      <c r="E155" s="106">
        <v>1085000</v>
      </c>
      <c r="F155" s="117">
        <f t="shared" si="9"/>
        <v>1646675</v>
      </c>
      <c r="G155" s="106">
        <v>561675</v>
      </c>
      <c r="H155" s="106">
        <v>1085000</v>
      </c>
      <c r="I155" s="117">
        <f t="shared" si="10"/>
        <v>1646675</v>
      </c>
    </row>
    <row r="156" spans="1:9">
      <c r="A156" s="119">
        <v>70</v>
      </c>
      <c r="B156" s="119">
        <v>9</v>
      </c>
      <c r="C156" s="125" t="s">
        <v>141</v>
      </c>
      <c r="D156" s="106">
        <v>333400</v>
      </c>
      <c r="E156" s="106">
        <f>525000</f>
        <v>525000</v>
      </c>
      <c r="F156" s="117">
        <f t="shared" si="9"/>
        <v>858400</v>
      </c>
      <c r="G156" s="106">
        <v>648400</v>
      </c>
      <c r="H156" s="106">
        <v>525000</v>
      </c>
      <c r="I156" s="117">
        <f t="shared" si="10"/>
        <v>1173400</v>
      </c>
    </row>
    <row r="157" spans="1:9">
      <c r="A157" s="119">
        <v>71</v>
      </c>
      <c r="B157" s="119">
        <v>10</v>
      </c>
      <c r="C157" s="125" t="s">
        <v>142</v>
      </c>
      <c r="D157" s="106">
        <v>357100</v>
      </c>
      <c r="E157" s="106">
        <v>109000</v>
      </c>
      <c r="F157" s="117">
        <f t="shared" si="9"/>
        <v>466100</v>
      </c>
      <c r="G157" s="106">
        <v>357100</v>
      </c>
      <c r="H157" s="106">
        <v>109000</v>
      </c>
      <c r="I157" s="117">
        <f t="shared" si="10"/>
        <v>466100</v>
      </c>
    </row>
    <row r="158" spans="1:9">
      <c r="A158" s="119">
        <v>72</v>
      </c>
      <c r="B158" s="119">
        <v>11</v>
      </c>
      <c r="C158" s="125" t="s">
        <v>143</v>
      </c>
      <c r="D158" s="106">
        <f>0</f>
        <v>0</v>
      </c>
      <c r="E158" s="106">
        <f>0</f>
        <v>0</v>
      </c>
      <c r="F158" s="117">
        <f t="shared" si="9"/>
        <v>0</v>
      </c>
      <c r="G158" s="106">
        <f>0</f>
        <v>0</v>
      </c>
      <c r="H158" s="106">
        <f>0</f>
        <v>0</v>
      </c>
      <c r="I158" s="117">
        <f t="shared" si="10"/>
        <v>0</v>
      </c>
    </row>
    <row r="159" spans="1:9">
      <c r="A159" s="119">
        <v>73</v>
      </c>
      <c r="B159" s="119">
        <v>12</v>
      </c>
      <c r="C159" s="125" t="s">
        <v>144</v>
      </c>
      <c r="D159" s="106">
        <v>255000</v>
      </c>
      <c r="E159" s="106">
        <v>844000</v>
      </c>
      <c r="F159" s="117">
        <f t="shared" si="9"/>
        <v>1099000</v>
      </c>
      <c r="G159" s="106">
        <v>255000</v>
      </c>
      <c r="H159" s="106">
        <v>834000</v>
      </c>
      <c r="I159" s="117">
        <f t="shared" si="10"/>
        <v>1089000</v>
      </c>
    </row>
    <row r="160" spans="1:9">
      <c r="A160" s="119">
        <v>74</v>
      </c>
      <c r="B160" s="119">
        <v>13</v>
      </c>
      <c r="C160" s="125" t="s">
        <v>145</v>
      </c>
      <c r="D160" s="106">
        <f>0</f>
        <v>0</v>
      </c>
      <c r="E160" s="106">
        <v>500000</v>
      </c>
      <c r="F160" s="117">
        <f t="shared" si="9"/>
        <v>500000</v>
      </c>
      <c r="G160" s="106">
        <f>0</f>
        <v>0</v>
      </c>
      <c r="H160" s="106">
        <v>500000</v>
      </c>
      <c r="I160" s="117">
        <f t="shared" si="10"/>
        <v>500000</v>
      </c>
    </row>
    <row r="161" spans="1:9">
      <c r="A161" s="119">
        <v>75</v>
      </c>
      <c r="B161" s="119">
        <v>14</v>
      </c>
      <c r="C161" s="129" t="s">
        <v>146</v>
      </c>
      <c r="D161" s="106">
        <f>0</f>
        <v>0</v>
      </c>
      <c r="E161" s="106">
        <f>0</f>
        <v>0</v>
      </c>
      <c r="F161" s="117">
        <f t="shared" si="9"/>
        <v>0</v>
      </c>
      <c r="G161" s="106">
        <f>0</f>
        <v>0</v>
      </c>
      <c r="H161" s="106">
        <f>1090000+1090000+1090000+1090000</f>
        <v>4360000</v>
      </c>
      <c r="I161" s="117">
        <f t="shared" si="10"/>
        <v>4360000</v>
      </c>
    </row>
    <row r="162" spans="1:9">
      <c r="A162" s="119">
        <v>76</v>
      </c>
      <c r="B162" s="119">
        <v>15</v>
      </c>
      <c r="C162" s="125" t="s">
        <v>147</v>
      </c>
      <c r="D162" s="106">
        <f>0</f>
        <v>0</v>
      </c>
      <c r="E162" s="106">
        <v>1091000</v>
      </c>
      <c r="F162" s="117">
        <f t="shared" si="9"/>
        <v>1091000</v>
      </c>
      <c r="G162" s="106">
        <f>0</f>
        <v>0</v>
      </c>
      <c r="H162" s="106">
        <v>1086000</v>
      </c>
      <c r="I162" s="117">
        <f t="shared" si="10"/>
        <v>1086000</v>
      </c>
    </row>
    <row r="163" spans="1:9">
      <c r="A163" s="119">
        <v>77</v>
      </c>
      <c r="B163" s="119">
        <v>16</v>
      </c>
      <c r="C163" s="125" t="s">
        <v>148</v>
      </c>
      <c r="D163" s="106">
        <f>0</f>
        <v>0</v>
      </c>
      <c r="E163" s="106">
        <v>2434000</v>
      </c>
      <c r="F163" s="117">
        <f t="shared" si="9"/>
        <v>2434000</v>
      </c>
      <c r="G163" s="106">
        <f>0</f>
        <v>0</v>
      </c>
      <c r="H163" s="106">
        <v>2434000</v>
      </c>
      <c r="I163" s="117">
        <f t="shared" si="10"/>
        <v>2434000</v>
      </c>
    </row>
    <row r="164" spans="1:9">
      <c r="A164" s="119">
        <v>78</v>
      </c>
      <c r="B164" s="119">
        <v>17</v>
      </c>
      <c r="C164" s="125" t="s">
        <v>149</v>
      </c>
      <c r="D164" s="106">
        <f>0</f>
        <v>0</v>
      </c>
      <c r="E164" s="106">
        <f>0</f>
        <v>0</v>
      </c>
      <c r="F164" s="117">
        <f t="shared" si="9"/>
        <v>0</v>
      </c>
      <c r="G164" s="106">
        <v>763000</v>
      </c>
      <c r="H164" s="106">
        <f>0</f>
        <v>0</v>
      </c>
      <c r="I164" s="117">
        <f t="shared" si="10"/>
        <v>763000</v>
      </c>
    </row>
    <row r="165" spans="1:9">
      <c r="A165" s="119">
        <v>79</v>
      </c>
      <c r="B165" s="119">
        <v>18</v>
      </c>
      <c r="C165" s="121" t="s">
        <v>150</v>
      </c>
      <c r="D165" s="106">
        <v>229042</v>
      </c>
      <c r="E165" s="106">
        <v>2910522</v>
      </c>
      <c r="F165" s="117">
        <f t="shared" si="9"/>
        <v>3139564</v>
      </c>
      <c r="G165" s="106">
        <f>0</f>
        <v>0</v>
      </c>
      <c r="H165" s="106">
        <f>0</f>
        <v>0</v>
      </c>
      <c r="I165" s="117">
        <f t="shared" si="10"/>
        <v>0</v>
      </c>
    </row>
    <row r="166" spans="1:9">
      <c r="A166" s="119">
        <v>80</v>
      </c>
      <c r="B166" s="119">
        <v>19</v>
      </c>
      <c r="C166" s="121" t="s">
        <v>151</v>
      </c>
      <c r="D166" s="106">
        <v>273000</v>
      </c>
      <c r="E166" s="106">
        <v>740500</v>
      </c>
      <c r="F166" s="117">
        <f t="shared" si="9"/>
        <v>1013500</v>
      </c>
      <c r="G166" s="106">
        <v>273000</v>
      </c>
      <c r="H166" s="106">
        <v>733000</v>
      </c>
      <c r="I166" s="117">
        <f t="shared" si="10"/>
        <v>1006000</v>
      </c>
    </row>
    <row r="167" spans="1:9">
      <c r="A167" s="119">
        <v>81</v>
      </c>
      <c r="B167" s="119">
        <v>20</v>
      </c>
      <c r="C167" s="121" t="s">
        <v>152</v>
      </c>
      <c r="D167" s="106">
        <v>309000</v>
      </c>
      <c r="E167" s="106">
        <v>698000</v>
      </c>
      <c r="F167" s="117">
        <f t="shared" si="9"/>
        <v>1007000</v>
      </c>
      <c r="G167" s="106">
        <v>309000</v>
      </c>
      <c r="H167" s="106">
        <v>698000</v>
      </c>
      <c r="I167" s="117">
        <f t="shared" si="10"/>
        <v>1007000</v>
      </c>
    </row>
    <row r="168" spans="1:9">
      <c r="A168" s="108" t="s">
        <v>58</v>
      </c>
      <c r="B168" s="109"/>
      <c r="C168" s="109"/>
      <c r="D168" s="110">
        <f>SUM(D148:D167)</f>
        <v>6304177</v>
      </c>
      <c r="E168" s="110">
        <f>SUM(E148:E167)</f>
        <v>14578422</v>
      </c>
      <c r="F168" s="110">
        <f>SUM(D168:E168)</f>
        <v>20882599</v>
      </c>
      <c r="G168" s="110">
        <f>SUM(G148:G167)</f>
        <v>7806835</v>
      </c>
      <c r="H168" s="110">
        <f>SUM(H148:H167)</f>
        <v>16642900</v>
      </c>
      <c r="I168" s="110">
        <f>SUM(G168:H168)</f>
        <v>24449735</v>
      </c>
    </row>
    <row r="169" spans="1:9">
      <c r="A169" s="108" t="s">
        <v>153</v>
      </c>
      <c r="B169" s="109"/>
      <c r="C169" s="109"/>
      <c r="D169" s="109"/>
      <c r="E169" s="109"/>
      <c r="F169" s="109"/>
      <c r="G169" s="109"/>
      <c r="H169" s="109"/>
      <c r="I169" s="113"/>
    </row>
    <row r="170" spans="1:9">
      <c r="A170" s="119">
        <v>82</v>
      </c>
      <c r="B170" s="119">
        <v>1</v>
      </c>
      <c r="C170" s="121" t="s">
        <v>154</v>
      </c>
      <c r="D170" s="106">
        <v>828175</v>
      </c>
      <c r="E170" s="106">
        <v>108500</v>
      </c>
      <c r="F170" s="117">
        <f>SUM(D170:E170)</f>
        <v>936675</v>
      </c>
      <c r="G170" s="106">
        <v>828175</v>
      </c>
      <c r="H170" s="106">
        <v>108500</v>
      </c>
      <c r="I170" s="117">
        <f>SUM(G170:H170)</f>
        <v>936675</v>
      </c>
    </row>
    <row r="171" spans="1:9">
      <c r="A171" s="119">
        <v>83</v>
      </c>
      <c r="B171" s="119">
        <v>2</v>
      </c>
      <c r="C171" s="121" t="s">
        <v>155</v>
      </c>
      <c r="D171" s="106">
        <f>0</f>
        <v>0</v>
      </c>
      <c r="E171" s="106">
        <v>30000</v>
      </c>
      <c r="F171" s="117">
        <f t="shared" ref="F171:F189" si="11">SUM(D171:E171)</f>
        <v>30000</v>
      </c>
      <c r="G171" s="106">
        <f>0</f>
        <v>0</v>
      </c>
      <c r="H171" s="106">
        <v>30000</v>
      </c>
      <c r="I171" s="117">
        <f t="shared" ref="I171:I192" si="12">SUM(G171:H171)</f>
        <v>30000</v>
      </c>
    </row>
    <row r="172" spans="1:9">
      <c r="A172" s="119">
        <v>84</v>
      </c>
      <c r="B172" s="119">
        <v>3</v>
      </c>
      <c r="C172" s="121" t="s">
        <v>156</v>
      </c>
      <c r="D172" s="106">
        <f>0</f>
        <v>0</v>
      </c>
      <c r="E172" s="106">
        <f>270000+45000</f>
        <v>315000</v>
      </c>
      <c r="F172" s="117">
        <f t="shared" si="11"/>
        <v>315000</v>
      </c>
      <c r="G172" s="106">
        <f>0</f>
        <v>0</v>
      </c>
      <c r="H172" s="106">
        <f>45000+270000</f>
        <v>315000</v>
      </c>
      <c r="I172" s="117">
        <f t="shared" si="12"/>
        <v>315000</v>
      </c>
    </row>
    <row r="173" spans="1:9">
      <c r="A173" s="119">
        <v>85</v>
      </c>
      <c r="B173" s="119">
        <v>4</v>
      </c>
      <c r="C173" s="121" t="s">
        <v>157</v>
      </c>
      <c r="D173" s="106">
        <v>950000</v>
      </c>
      <c r="E173" s="106">
        <v>60000</v>
      </c>
      <c r="F173" s="117">
        <f t="shared" si="11"/>
        <v>1010000</v>
      </c>
      <c r="G173" s="106">
        <v>1165000</v>
      </c>
      <c r="H173" s="106">
        <v>170000</v>
      </c>
      <c r="I173" s="117">
        <f t="shared" si="12"/>
        <v>1335000</v>
      </c>
    </row>
    <row r="174" spans="1:9">
      <c r="A174" s="119">
        <v>86</v>
      </c>
      <c r="B174" s="119">
        <v>5</v>
      </c>
      <c r="C174" s="121" t="s">
        <v>158</v>
      </c>
      <c r="D174" s="106">
        <f>0</f>
        <v>0</v>
      </c>
      <c r="E174" s="106">
        <f>80000+80000+80000+80000+80000+80000+80000+80000+80000+80000+80000+80000+80000+80000</f>
        <v>1120000</v>
      </c>
      <c r="F174" s="117">
        <f t="shared" si="11"/>
        <v>1120000</v>
      </c>
      <c r="G174" s="106">
        <f>0</f>
        <v>0</v>
      </c>
      <c r="H174" s="106">
        <f>0</f>
        <v>0</v>
      </c>
      <c r="I174" s="117">
        <f t="shared" si="12"/>
        <v>0</v>
      </c>
    </row>
    <row r="175" spans="1:9">
      <c r="A175" s="119">
        <v>87</v>
      </c>
      <c r="B175" s="119">
        <v>6</v>
      </c>
      <c r="C175" s="125" t="s">
        <v>159</v>
      </c>
      <c r="D175" s="106">
        <v>20000000</v>
      </c>
      <c r="E175" s="106">
        <f>0</f>
        <v>0</v>
      </c>
      <c r="F175" s="117">
        <f t="shared" si="11"/>
        <v>20000000</v>
      </c>
      <c r="G175" s="106">
        <v>20000000</v>
      </c>
      <c r="H175" s="106">
        <f>0</f>
        <v>0</v>
      </c>
      <c r="I175" s="117">
        <f t="shared" si="12"/>
        <v>20000000</v>
      </c>
    </row>
    <row r="176" spans="1:9">
      <c r="A176" s="119">
        <v>88</v>
      </c>
      <c r="B176" s="119">
        <v>7</v>
      </c>
      <c r="C176" s="121" t="s">
        <v>160</v>
      </c>
      <c r="D176" s="106">
        <f>0</f>
        <v>0</v>
      </c>
      <c r="E176" s="106">
        <f>0</f>
        <v>0</v>
      </c>
      <c r="F176" s="117">
        <f t="shared" si="11"/>
        <v>0</v>
      </c>
      <c r="G176" s="106">
        <f>0</f>
        <v>0</v>
      </c>
      <c r="H176" s="106">
        <f>0</f>
        <v>0</v>
      </c>
      <c r="I176" s="117">
        <f t="shared" si="12"/>
        <v>0</v>
      </c>
    </row>
    <row r="177" spans="1:9">
      <c r="A177" s="119">
        <v>89</v>
      </c>
      <c r="B177" s="119">
        <v>8</v>
      </c>
      <c r="C177" s="121" t="s">
        <v>161</v>
      </c>
      <c r="D177" s="106">
        <f>0</f>
        <v>0</v>
      </c>
      <c r="E177" s="106">
        <f>0</f>
        <v>0</v>
      </c>
      <c r="F177" s="117">
        <f t="shared" si="11"/>
        <v>0</v>
      </c>
      <c r="G177" s="106">
        <f>0</f>
        <v>0</v>
      </c>
      <c r="H177" s="106">
        <f>0</f>
        <v>0</v>
      </c>
      <c r="I177" s="117">
        <f t="shared" si="12"/>
        <v>0</v>
      </c>
    </row>
    <row r="178" spans="1:9">
      <c r="A178" s="119">
        <v>90</v>
      </c>
      <c r="B178" s="119">
        <v>9</v>
      </c>
      <c r="C178" s="121" t="s">
        <v>162</v>
      </c>
      <c r="D178" s="106">
        <f>0</f>
        <v>0</v>
      </c>
      <c r="E178" s="106">
        <f>0</f>
        <v>0</v>
      </c>
      <c r="F178" s="117">
        <f t="shared" si="11"/>
        <v>0</v>
      </c>
      <c r="G178" s="106">
        <f>0</f>
        <v>0</v>
      </c>
      <c r="H178" s="106">
        <f>0</f>
        <v>0</v>
      </c>
      <c r="I178" s="117">
        <f t="shared" si="12"/>
        <v>0</v>
      </c>
    </row>
    <row r="179" spans="1:9">
      <c r="A179" s="119">
        <v>91</v>
      </c>
      <c r="B179" s="119">
        <v>10</v>
      </c>
      <c r="C179" s="121" t="s">
        <v>163</v>
      </c>
      <c r="D179" s="106">
        <v>65000</v>
      </c>
      <c r="E179" s="106">
        <v>1500</v>
      </c>
      <c r="F179" s="117">
        <f t="shared" si="11"/>
        <v>66500</v>
      </c>
      <c r="G179" s="106">
        <v>1500</v>
      </c>
      <c r="H179" s="106">
        <v>25000</v>
      </c>
      <c r="I179" s="117">
        <f t="shared" si="12"/>
        <v>26500</v>
      </c>
    </row>
    <row r="180" spans="1:9">
      <c r="A180" s="119">
        <v>92</v>
      </c>
      <c r="B180" s="119">
        <v>11</v>
      </c>
      <c r="C180" s="121" t="s">
        <v>164</v>
      </c>
      <c r="D180" s="106">
        <v>7588424</v>
      </c>
      <c r="E180" s="106">
        <f>0</f>
        <v>0</v>
      </c>
      <c r="F180" s="117">
        <f t="shared" si="11"/>
        <v>7588424</v>
      </c>
      <c r="G180" s="106">
        <v>8228953</v>
      </c>
      <c r="H180" s="106">
        <f>0</f>
        <v>0</v>
      </c>
      <c r="I180" s="117">
        <f t="shared" si="12"/>
        <v>8228953</v>
      </c>
    </row>
    <row r="181" spans="1:9">
      <c r="A181" s="119">
        <v>93</v>
      </c>
      <c r="B181" s="119">
        <v>12</v>
      </c>
      <c r="C181" s="121" t="s">
        <v>165</v>
      </c>
      <c r="D181" s="106">
        <f>0</f>
        <v>0</v>
      </c>
      <c r="E181" s="106">
        <f>0</f>
        <v>0</v>
      </c>
      <c r="F181" s="117">
        <f t="shared" si="11"/>
        <v>0</v>
      </c>
      <c r="G181" s="106">
        <f>0</f>
        <v>0</v>
      </c>
      <c r="H181" s="106">
        <f>0</f>
        <v>0</v>
      </c>
      <c r="I181" s="117">
        <f t="shared" si="12"/>
        <v>0</v>
      </c>
    </row>
    <row r="182" spans="1:9">
      <c r="A182" s="119">
        <v>94</v>
      </c>
      <c r="B182" s="119">
        <v>13</v>
      </c>
      <c r="C182" s="121" t="s">
        <v>166</v>
      </c>
      <c r="D182" s="106">
        <f>0</f>
        <v>0</v>
      </c>
      <c r="E182" s="106">
        <f>83000+83000</f>
        <v>166000</v>
      </c>
      <c r="F182" s="117">
        <f t="shared" si="11"/>
        <v>166000</v>
      </c>
      <c r="G182" s="106">
        <f>0</f>
        <v>0</v>
      </c>
      <c r="H182" s="106">
        <f>0</f>
        <v>0</v>
      </c>
      <c r="I182" s="117">
        <f t="shared" si="12"/>
        <v>0</v>
      </c>
    </row>
    <row r="183" spans="1:9">
      <c r="A183" s="119">
        <v>95</v>
      </c>
      <c r="B183" s="119">
        <v>14</v>
      </c>
      <c r="C183" s="121" t="s">
        <v>167</v>
      </c>
      <c r="D183" s="106">
        <f>0</f>
        <v>0</v>
      </c>
      <c r="E183" s="106">
        <f>0</f>
        <v>0</v>
      </c>
      <c r="F183" s="117">
        <f t="shared" si="11"/>
        <v>0</v>
      </c>
      <c r="G183" s="106">
        <f>0</f>
        <v>0</v>
      </c>
      <c r="H183" s="106">
        <f>73000+73000</f>
        <v>146000</v>
      </c>
      <c r="I183" s="117">
        <f t="shared" si="12"/>
        <v>146000</v>
      </c>
    </row>
    <row r="184" spans="1:9">
      <c r="A184" s="119">
        <v>96</v>
      </c>
      <c r="B184" s="119">
        <v>15</v>
      </c>
      <c r="C184" s="121" t="s">
        <v>168</v>
      </c>
      <c r="D184" s="106">
        <v>451000</v>
      </c>
      <c r="E184" s="106">
        <v>394000</v>
      </c>
      <c r="F184" s="117">
        <f t="shared" si="11"/>
        <v>845000</v>
      </c>
      <c r="G184" s="106">
        <v>451000</v>
      </c>
      <c r="H184" s="106">
        <v>400000</v>
      </c>
      <c r="I184" s="117">
        <f t="shared" si="12"/>
        <v>851000</v>
      </c>
    </row>
    <row r="185" spans="1:9">
      <c r="A185" s="119">
        <v>97</v>
      </c>
      <c r="B185" s="119">
        <v>16</v>
      </c>
      <c r="C185" s="121" t="s">
        <v>169</v>
      </c>
      <c r="D185" s="106">
        <v>1092000</v>
      </c>
      <c r="E185" s="106">
        <f>401000+340000</f>
        <v>741000</v>
      </c>
      <c r="F185" s="117">
        <f t="shared" si="11"/>
        <v>1833000</v>
      </c>
      <c r="G185" s="106">
        <v>1092000</v>
      </c>
      <c r="H185" s="106">
        <f>340000+401000</f>
        <v>741000</v>
      </c>
      <c r="I185" s="117">
        <f t="shared" si="12"/>
        <v>1833000</v>
      </c>
    </row>
    <row r="186" spans="1:9">
      <c r="A186" s="119">
        <v>98</v>
      </c>
      <c r="B186" s="119">
        <v>17</v>
      </c>
      <c r="C186" s="121" t="s">
        <v>170</v>
      </c>
      <c r="D186" s="106">
        <f>0</f>
        <v>0</v>
      </c>
      <c r="E186" s="106">
        <f>0</f>
        <v>0</v>
      </c>
      <c r="F186" s="117">
        <f t="shared" si="11"/>
        <v>0</v>
      </c>
      <c r="G186" s="106">
        <f>0</f>
        <v>0</v>
      </c>
      <c r="H186" s="106">
        <f>0</f>
        <v>0</v>
      </c>
      <c r="I186" s="117">
        <f t="shared" si="12"/>
        <v>0</v>
      </c>
    </row>
    <row r="187" spans="1:9">
      <c r="A187" s="119">
        <v>99</v>
      </c>
      <c r="B187" s="119">
        <v>18</v>
      </c>
      <c r="C187" s="121" t="s">
        <v>171</v>
      </c>
      <c r="D187" s="106">
        <f>0</f>
        <v>0</v>
      </c>
      <c r="E187" s="106">
        <f>0</f>
        <v>0</v>
      </c>
      <c r="F187" s="117">
        <f t="shared" si="11"/>
        <v>0</v>
      </c>
      <c r="G187" s="106">
        <f>0</f>
        <v>0</v>
      </c>
      <c r="H187" s="106">
        <f>0</f>
        <v>0</v>
      </c>
      <c r="I187" s="117">
        <f t="shared" si="12"/>
        <v>0</v>
      </c>
    </row>
    <row r="188" spans="1:9">
      <c r="A188" s="119">
        <v>100</v>
      </c>
      <c r="B188" s="119">
        <v>19</v>
      </c>
      <c r="C188" s="121" t="s">
        <v>172</v>
      </c>
      <c r="D188" s="106">
        <f>0</f>
        <v>0</v>
      </c>
      <c r="E188" s="106">
        <f>0</f>
        <v>0</v>
      </c>
      <c r="F188" s="117">
        <f t="shared" si="11"/>
        <v>0</v>
      </c>
      <c r="G188" s="106">
        <f>0</f>
        <v>0</v>
      </c>
      <c r="H188" s="106">
        <f>0</f>
        <v>0</v>
      </c>
      <c r="I188" s="117">
        <f t="shared" si="12"/>
        <v>0</v>
      </c>
    </row>
    <row r="189" spans="1:9">
      <c r="A189" s="119">
        <v>101</v>
      </c>
      <c r="B189" s="119">
        <v>20</v>
      </c>
      <c r="C189" s="121" t="s">
        <v>173</v>
      </c>
      <c r="D189" s="106">
        <f>0</f>
        <v>0</v>
      </c>
      <c r="E189" s="106">
        <f>0</f>
        <v>0</v>
      </c>
      <c r="F189" s="117">
        <f t="shared" si="11"/>
        <v>0</v>
      </c>
      <c r="G189" s="106">
        <f>0</f>
        <v>0</v>
      </c>
      <c r="H189" s="106">
        <f>0</f>
        <v>0</v>
      </c>
      <c r="I189" s="117">
        <f t="shared" si="12"/>
        <v>0</v>
      </c>
    </row>
    <row r="190" spans="1:9">
      <c r="A190" s="119">
        <v>102</v>
      </c>
      <c r="B190" s="119">
        <v>21</v>
      </c>
      <c r="C190" s="121" t="s">
        <v>174</v>
      </c>
      <c r="D190" s="106">
        <f>0</f>
        <v>0</v>
      </c>
      <c r="E190" s="106">
        <f>0</f>
        <v>0</v>
      </c>
      <c r="F190" s="117">
        <f>SUM(D190:E190)</f>
        <v>0</v>
      </c>
      <c r="G190" s="106">
        <f>0</f>
        <v>0</v>
      </c>
      <c r="H190" s="106">
        <f>0</f>
        <v>0</v>
      </c>
      <c r="I190" s="117">
        <f>SUM(G190:H190)</f>
        <v>0</v>
      </c>
    </row>
    <row r="191" spans="1:9">
      <c r="A191" s="119">
        <v>103</v>
      </c>
      <c r="B191" s="119">
        <v>22</v>
      </c>
      <c r="C191" s="121" t="s">
        <v>175</v>
      </c>
      <c r="D191" s="106">
        <f>0</f>
        <v>0</v>
      </c>
      <c r="E191" s="106">
        <f>0</f>
        <v>0</v>
      </c>
      <c r="F191" s="117">
        <f>SUM(D191:E191)</f>
        <v>0</v>
      </c>
      <c r="G191" s="106">
        <f>0</f>
        <v>0</v>
      </c>
      <c r="H191" s="106">
        <f>0</f>
        <v>0</v>
      </c>
      <c r="I191" s="117">
        <f t="shared" si="12"/>
        <v>0</v>
      </c>
    </row>
    <row r="192" spans="1:9">
      <c r="A192" s="119">
        <v>104</v>
      </c>
      <c r="B192" s="119">
        <v>23</v>
      </c>
      <c r="C192" s="121" t="s">
        <v>176</v>
      </c>
      <c r="D192" s="106">
        <f>0</f>
        <v>0</v>
      </c>
      <c r="E192" s="106">
        <f>0</f>
        <v>0</v>
      </c>
      <c r="F192" s="117">
        <f>SUM(D192:E192)</f>
        <v>0</v>
      </c>
      <c r="G192" s="106">
        <f>0</f>
        <v>0</v>
      </c>
      <c r="H192" s="106">
        <f>0</f>
        <v>0</v>
      </c>
      <c r="I192" s="117">
        <f t="shared" si="12"/>
        <v>0</v>
      </c>
    </row>
    <row r="193" spans="1:9">
      <c r="A193" s="108" t="s">
        <v>58</v>
      </c>
      <c r="B193" s="109"/>
      <c r="C193" s="109"/>
      <c r="D193" s="110">
        <f>SUM(D170:D192)</f>
        <v>30974599</v>
      </c>
      <c r="E193" s="110">
        <f>SUM(E170:E192)</f>
        <v>2936000</v>
      </c>
      <c r="F193" s="110">
        <f>SUM(D193:E193)</f>
        <v>33910599</v>
      </c>
      <c r="G193" s="110">
        <f>SUM(G170:G192)</f>
        <v>31766628</v>
      </c>
      <c r="H193" s="110">
        <f>SUM(H170:H192)</f>
        <v>1935500</v>
      </c>
      <c r="I193" s="110">
        <f>SUM(G193:H193)</f>
        <v>33702128</v>
      </c>
    </row>
    <row r="194" spans="1:9">
      <c r="A194" s="108" t="s">
        <v>177</v>
      </c>
      <c r="B194" s="109"/>
      <c r="C194" s="109"/>
      <c r="D194" s="109"/>
      <c r="E194" s="109"/>
      <c r="F194" s="109"/>
      <c r="G194" s="109"/>
      <c r="H194" s="109"/>
      <c r="I194" s="113"/>
    </row>
    <row r="195" spans="1:9">
      <c r="A195" s="119">
        <v>105</v>
      </c>
      <c r="B195" s="119">
        <v>1</v>
      </c>
      <c r="C195" s="105" t="s">
        <v>178</v>
      </c>
      <c r="D195" s="106">
        <f>0</f>
        <v>0</v>
      </c>
      <c r="E195" s="106">
        <f>0</f>
        <v>0</v>
      </c>
      <c r="F195" s="117">
        <f>SUM(D195:E195)</f>
        <v>0</v>
      </c>
      <c r="G195" s="106">
        <f>0</f>
        <v>0</v>
      </c>
      <c r="H195" s="106">
        <f>0</f>
        <v>0</v>
      </c>
      <c r="I195" s="117">
        <f>SUM(G195:H195)</f>
        <v>0</v>
      </c>
    </row>
    <row r="196" spans="1:9">
      <c r="A196" s="119">
        <v>106</v>
      </c>
      <c r="B196" s="119">
        <v>2</v>
      </c>
      <c r="C196" s="120" t="s">
        <v>179</v>
      </c>
      <c r="D196" s="106">
        <v>255201</v>
      </c>
      <c r="E196" s="106">
        <v>70300</v>
      </c>
      <c r="F196" s="117">
        <f t="shared" ref="F196:F242" si="13">SUM(D196:E196)</f>
        <v>325501</v>
      </c>
      <c r="G196" s="106">
        <v>255201</v>
      </c>
      <c r="H196" s="106">
        <v>72200</v>
      </c>
      <c r="I196" s="117">
        <f t="shared" ref="I196:I242" si="14">SUM(G196:H196)</f>
        <v>327401</v>
      </c>
    </row>
    <row r="197" spans="1:9">
      <c r="A197" s="119">
        <v>107</v>
      </c>
      <c r="B197" s="119">
        <v>3</v>
      </c>
      <c r="C197" s="120" t="s">
        <v>180</v>
      </c>
      <c r="D197" s="106">
        <f>0</f>
        <v>0</v>
      </c>
      <c r="E197" s="106">
        <f>105000+105000+105000+105000+70000+57000+57000+57000</f>
        <v>661000</v>
      </c>
      <c r="F197" s="117">
        <f t="shared" si="13"/>
        <v>661000</v>
      </c>
      <c r="G197" s="106">
        <f>0</f>
        <v>0</v>
      </c>
      <c r="H197" s="106">
        <f>0</f>
        <v>0</v>
      </c>
      <c r="I197" s="117">
        <f t="shared" si="14"/>
        <v>0</v>
      </c>
    </row>
    <row r="198" spans="1:9">
      <c r="A198" s="119">
        <v>108</v>
      </c>
      <c r="B198" s="119">
        <v>4</v>
      </c>
      <c r="C198" s="105" t="s">
        <v>181</v>
      </c>
      <c r="D198" s="106">
        <v>808400</v>
      </c>
      <c r="E198" s="106">
        <v>82000</v>
      </c>
      <c r="F198" s="117">
        <f t="shared" si="13"/>
        <v>890400</v>
      </c>
      <c r="G198" s="106">
        <f>0</f>
        <v>0</v>
      </c>
      <c r="H198" s="106">
        <f>0</f>
        <v>0</v>
      </c>
      <c r="I198" s="117">
        <f t="shared" si="14"/>
        <v>0</v>
      </c>
    </row>
    <row r="199" spans="1:9">
      <c r="A199" s="119">
        <v>109</v>
      </c>
      <c r="B199" s="119">
        <v>5</v>
      </c>
      <c r="C199" s="130" t="s">
        <v>182</v>
      </c>
      <c r="D199" s="106">
        <f>0</f>
        <v>0</v>
      </c>
      <c r="E199" s="106">
        <f>0</f>
        <v>0</v>
      </c>
      <c r="F199" s="117">
        <f t="shared" si="13"/>
        <v>0</v>
      </c>
      <c r="G199" s="106">
        <f>0</f>
        <v>0</v>
      </c>
      <c r="H199" s="106">
        <f>0</f>
        <v>0</v>
      </c>
      <c r="I199" s="117">
        <f t="shared" si="14"/>
        <v>0</v>
      </c>
    </row>
    <row r="200" spans="1:9">
      <c r="A200" s="119">
        <v>110</v>
      </c>
      <c r="B200" s="119">
        <v>6</v>
      </c>
      <c r="C200" s="130" t="s">
        <v>183</v>
      </c>
      <c r="D200" s="106">
        <f>284968+190075+190075</f>
        <v>665118</v>
      </c>
      <c r="E200" s="106">
        <f>345000+345000+345000</f>
        <v>1035000</v>
      </c>
      <c r="F200" s="117">
        <f t="shared" si="13"/>
        <v>1700118</v>
      </c>
      <c r="G200" s="106">
        <v>190075</v>
      </c>
      <c r="H200" s="106">
        <v>345000</v>
      </c>
      <c r="I200" s="117">
        <f t="shared" si="14"/>
        <v>535075</v>
      </c>
    </row>
    <row r="201" spans="1:9">
      <c r="A201" s="119">
        <v>111</v>
      </c>
      <c r="B201" s="119">
        <v>7</v>
      </c>
      <c r="C201" s="130" t="s">
        <v>184</v>
      </c>
      <c r="D201" s="106">
        <v>549300</v>
      </c>
      <c r="E201" s="106">
        <v>371500</v>
      </c>
      <c r="F201" s="117">
        <f t="shared" si="13"/>
        <v>920800</v>
      </c>
      <c r="G201" s="106">
        <v>549300</v>
      </c>
      <c r="H201" s="106">
        <v>371500</v>
      </c>
      <c r="I201" s="117">
        <f t="shared" si="14"/>
        <v>920800</v>
      </c>
    </row>
    <row r="202" spans="1:9">
      <c r="A202" s="119">
        <v>112</v>
      </c>
      <c r="B202" s="119">
        <v>8</v>
      </c>
      <c r="C202" s="130" t="s">
        <v>185</v>
      </c>
      <c r="D202" s="106">
        <f>0</f>
        <v>0</v>
      </c>
      <c r="E202" s="106">
        <f>0</f>
        <v>0</v>
      </c>
      <c r="F202" s="117">
        <f t="shared" si="13"/>
        <v>0</v>
      </c>
      <c r="G202" s="106">
        <f>0</f>
        <v>0</v>
      </c>
      <c r="H202" s="106">
        <f>0</f>
        <v>0</v>
      </c>
      <c r="I202" s="117">
        <f t="shared" si="14"/>
        <v>0</v>
      </c>
    </row>
    <row r="203" spans="1:9">
      <c r="A203" s="119">
        <v>113</v>
      </c>
      <c r="B203" s="119">
        <v>9</v>
      </c>
      <c r="C203" s="130" t="s">
        <v>186</v>
      </c>
      <c r="D203" s="106">
        <f>0</f>
        <v>0</v>
      </c>
      <c r="E203" s="106">
        <f>0</f>
        <v>0</v>
      </c>
      <c r="F203" s="117">
        <f t="shared" si="13"/>
        <v>0</v>
      </c>
      <c r="G203" s="106">
        <f>0</f>
        <v>0</v>
      </c>
      <c r="H203" s="106">
        <f>0</f>
        <v>0</v>
      </c>
      <c r="I203" s="117">
        <f t="shared" si="14"/>
        <v>0</v>
      </c>
    </row>
    <row r="204" spans="1:9">
      <c r="A204" s="119">
        <v>114</v>
      </c>
      <c r="B204" s="119">
        <v>10</v>
      </c>
      <c r="C204" s="130" t="s">
        <v>187</v>
      </c>
      <c r="D204" s="106">
        <f>0</f>
        <v>0</v>
      </c>
      <c r="E204" s="106">
        <f>330000+325000+330000</f>
        <v>985000</v>
      </c>
      <c r="F204" s="117">
        <f t="shared" si="13"/>
        <v>985000</v>
      </c>
      <c r="G204" s="106">
        <f>0</f>
        <v>0</v>
      </c>
      <c r="H204" s="106">
        <f>317000+322000</f>
        <v>639000</v>
      </c>
      <c r="I204" s="117">
        <f t="shared" si="14"/>
        <v>639000</v>
      </c>
    </row>
    <row r="205" spans="1:9">
      <c r="A205" s="119">
        <v>115</v>
      </c>
      <c r="B205" s="119">
        <v>11</v>
      </c>
      <c r="C205" s="130" t="s">
        <v>188</v>
      </c>
      <c r="D205" s="106">
        <f>0</f>
        <v>0</v>
      </c>
      <c r="E205" s="106">
        <f>0</f>
        <v>0</v>
      </c>
      <c r="F205" s="117">
        <f t="shared" si="13"/>
        <v>0</v>
      </c>
      <c r="G205" s="106">
        <f>0</f>
        <v>0</v>
      </c>
      <c r="H205" s="106">
        <f>0</f>
        <v>0</v>
      </c>
      <c r="I205" s="117">
        <f t="shared" si="14"/>
        <v>0</v>
      </c>
    </row>
    <row r="206" spans="1:9">
      <c r="A206" s="119">
        <v>116</v>
      </c>
      <c r="B206" s="119">
        <v>12</v>
      </c>
      <c r="C206" s="130" t="s">
        <v>189</v>
      </c>
      <c r="D206" s="106">
        <f>0</f>
        <v>0</v>
      </c>
      <c r="E206" s="106">
        <f>0</f>
        <v>0</v>
      </c>
      <c r="F206" s="117">
        <f t="shared" si="13"/>
        <v>0</v>
      </c>
      <c r="G206" s="106">
        <f>0</f>
        <v>0</v>
      </c>
      <c r="H206" s="106">
        <f>0</f>
        <v>0</v>
      </c>
      <c r="I206" s="117">
        <f t="shared" si="14"/>
        <v>0</v>
      </c>
    </row>
    <row r="207" spans="1:9">
      <c r="A207" s="119">
        <v>117</v>
      </c>
      <c r="B207" s="119">
        <v>13</v>
      </c>
      <c r="C207" s="130" t="s">
        <v>190</v>
      </c>
      <c r="D207" s="106">
        <v>980800</v>
      </c>
      <c r="E207" s="106">
        <v>1087000</v>
      </c>
      <c r="F207" s="117">
        <f t="shared" si="13"/>
        <v>2067800</v>
      </c>
      <c r="G207" s="106">
        <f>0</f>
        <v>0</v>
      </c>
      <c r="H207" s="106">
        <f>0</f>
        <v>0</v>
      </c>
      <c r="I207" s="117">
        <f t="shared" si="14"/>
        <v>0</v>
      </c>
    </row>
    <row r="208" spans="1:9">
      <c r="A208" s="119">
        <v>118</v>
      </c>
      <c r="B208" s="119">
        <v>14</v>
      </c>
      <c r="C208" s="130" t="s">
        <v>191</v>
      </c>
      <c r="D208" s="106">
        <v>340000</v>
      </c>
      <c r="E208" s="106">
        <v>400000</v>
      </c>
      <c r="F208" s="117">
        <f t="shared" si="13"/>
        <v>740000</v>
      </c>
      <c r="G208" s="106">
        <f>0</f>
        <v>0</v>
      </c>
      <c r="H208" s="106">
        <f>0</f>
        <v>0</v>
      </c>
      <c r="I208" s="117">
        <f t="shared" si="14"/>
        <v>0</v>
      </c>
    </row>
    <row r="209" spans="1:9">
      <c r="A209" s="119">
        <v>119</v>
      </c>
      <c r="B209" s="119">
        <v>15</v>
      </c>
      <c r="C209" s="130" t="s">
        <v>192</v>
      </c>
      <c r="D209" s="106">
        <f>0</f>
        <v>0</v>
      </c>
      <c r="E209" s="106">
        <v>28000</v>
      </c>
      <c r="F209" s="117">
        <f t="shared" si="13"/>
        <v>28000</v>
      </c>
      <c r="G209" s="106">
        <f>0</f>
        <v>0</v>
      </c>
      <c r="H209" s="106">
        <v>28000</v>
      </c>
      <c r="I209" s="117">
        <f t="shared" si="14"/>
        <v>28000</v>
      </c>
    </row>
    <row r="210" spans="1:9">
      <c r="A210" s="119">
        <v>120</v>
      </c>
      <c r="B210" s="119">
        <v>16</v>
      </c>
      <c r="C210" s="130" t="s">
        <v>193</v>
      </c>
      <c r="D210" s="106">
        <f>0</f>
        <v>0</v>
      </c>
      <c r="E210" s="106">
        <f>0</f>
        <v>0</v>
      </c>
      <c r="F210" s="117">
        <f t="shared" si="13"/>
        <v>0</v>
      </c>
      <c r="G210" s="106">
        <f>0</f>
        <v>0</v>
      </c>
      <c r="H210" s="106">
        <f>0</f>
        <v>0</v>
      </c>
      <c r="I210" s="117">
        <f t="shared" si="14"/>
        <v>0</v>
      </c>
    </row>
    <row r="211" spans="1:9">
      <c r="A211" s="119">
        <v>121</v>
      </c>
      <c r="B211" s="119">
        <v>17</v>
      </c>
      <c r="C211" s="130" t="s">
        <v>194</v>
      </c>
      <c r="D211" s="106">
        <f>0</f>
        <v>0</v>
      </c>
      <c r="E211" s="106">
        <v>27000</v>
      </c>
      <c r="F211" s="117">
        <f t="shared" si="13"/>
        <v>27000</v>
      </c>
      <c r="G211" s="106">
        <f>0</f>
        <v>0</v>
      </c>
      <c r="H211" s="106">
        <v>27000</v>
      </c>
      <c r="I211" s="117">
        <f t="shared" si="14"/>
        <v>27000</v>
      </c>
    </row>
    <row r="212" spans="1:9">
      <c r="A212" s="119">
        <v>122</v>
      </c>
      <c r="B212" s="119">
        <v>18</v>
      </c>
      <c r="C212" s="130" t="s">
        <v>195</v>
      </c>
      <c r="D212" s="106">
        <f>0</f>
        <v>0</v>
      </c>
      <c r="E212" s="106">
        <f>0</f>
        <v>0</v>
      </c>
      <c r="F212" s="117">
        <f t="shared" si="13"/>
        <v>0</v>
      </c>
      <c r="G212" s="106">
        <f>0</f>
        <v>0</v>
      </c>
      <c r="H212" s="106">
        <f>0</f>
        <v>0</v>
      </c>
      <c r="I212" s="117">
        <f t="shared" si="14"/>
        <v>0</v>
      </c>
    </row>
    <row r="213" spans="1:9">
      <c r="A213" s="119">
        <v>123</v>
      </c>
      <c r="B213" s="119">
        <v>19</v>
      </c>
      <c r="C213" s="130" t="s">
        <v>196</v>
      </c>
      <c r="D213" s="106">
        <f>0</f>
        <v>0</v>
      </c>
      <c r="E213" s="106">
        <v>197000</v>
      </c>
      <c r="F213" s="117">
        <f t="shared" si="13"/>
        <v>197000</v>
      </c>
      <c r="G213" s="106">
        <f>0</f>
        <v>0</v>
      </c>
      <c r="H213" s="106">
        <v>197000</v>
      </c>
      <c r="I213" s="117">
        <f t="shared" si="14"/>
        <v>197000</v>
      </c>
    </row>
    <row r="214" spans="1:9">
      <c r="A214" s="119">
        <v>124</v>
      </c>
      <c r="B214" s="119">
        <v>20</v>
      </c>
      <c r="C214" s="130" t="s">
        <v>197</v>
      </c>
      <c r="D214" s="106">
        <f>0</f>
        <v>0</v>
      </c>
      <c r="E214" s="106">
        <f>0</f>
        <v>0</v>
      </c>
      <c r="F214" s="117">
        <f t="shared" si="13"/>
        <v>0</v>
      </c>
      <c r="G214" s="106">
        <f>0</f>
        <v>0</v>
      </c>
      <c r="H214" s="106">
        <f>0</f>
        <v>0</v>
      </c>
      <c r="I214" s="117">
        <f t="shared" si="14"/>
        <v>0</v>
      </c>
    </row>
    <row r="215" spans="1:9">
      <c r="A215" s="119">
        <v>125</v>
      </c>
      <c r="B215" s="119">
        <v>21</v>
      </c>
      <c r="C215" s="130" t="s">
        <v>198</v>
      </c>
      <c r="D215" s="106">
        <v>84000</v>
      </c>
      <c r="E215" s="106">
        <v>133000</v>
      </c>
      <c r="F215" s="117">
        <f t="shared" si="13"/>
        <v>217000</v>
      </c>
      <c r="G215" s="106">
        <v>84000</v>
      </c>
      <c r="H215" s="106">
        <v>145000</v>
      </c>
      <c r="I215" s="117">
        <f t="shared" si="14"/>
        <v>229000</v>
      </c>
    </row>
    <row r="216" spans="1:9">
      <c r="A216" s="119">
        <v>126</v>
      </c>
      <c r="B216" s="119">
        <v>22</v>
      </c>
      <c r="C216" s="130" t="s">
        <v>199</v>
      </c>
      <c r="D216" s="106">
        <f>0</f>
        <v>0</v>
      </c>
      <c r="E216" s="106">
        <v>197500</v>
      </c>
      <c r="F216" s="117">
        <f t="shared" si="13"/>
        <v>197500</v>
      </c>
      <c r="G216" s="106">
        <f>0</f>
        <v>0</v>
      </c>
      <c r="H216" s="106">
        <v>192500</v>
      </c>
      <c r="I216" s="117">
        <f t="shared" si="14"/>
        <v>192500</v>
      </c>
    </row>
    <row r="217" spans="1:9">
      <c r="A217" s="119">
        <v>127</v>
      </c>
      <c r="B217" s="119">
        <v>23</v>
      </c>
      <c r="C217" s="130" t="s">
        <v>200</v>
      </c>
      <c r="D217" s="106">
        <f>0</f>
        <v>0</v>
      </c>
      <c r="E217" s="106">
        <f>0</f>
        <v>0</v>
      </c>
      <c r="F217" s="117">
        <f t="shared" si="13"/>
        <v>0</v>
      </c>
      <c r="G217" s="106">
        <f>0</f>
        <v>0</v>
      </c>
      <c r="H217" s="106">
        <f>0</f>
        <v>0</v>
      </c>
      <c r="I217" s="117">
        <f t="shared" si="14"/>
        <v>0</v>
      </c>
    </row>
    <row r="218" spans="1:9">
      <c r="A218" s="119">
        <v>128</v>
      </c>
      <c r="B218" s="119">
        <v>24</v>
      </c>
      <c r="C218" s="130" t="s">
        <v>201</v>
      </c>
      <c r="D218" s="106">
        <f>0</f>
        <v>0</v>
      </c>
      <c r="E218" s="106">
        <f>0</f>
        <v>0</v>
      </c>
      <c r="F218" s="117">
        <f t="shared" si="13"/>
        <v>0</v>
      </c>
      <c r="G218" s="106">
        <f>79000+79000</f>
        <v>158000</v>
      </c>
      <c r="H218" s="106">
        <f>665000+690000</f>
        <v>1355000</v>
      </c>
      <c r="I218" s="117">
        <f t="shared" si="14"/>
        <v>1513000</v>
      </c>
    </row>
    <row r="219" spans="1:9">
      <c r="A219" s="119">
        <v>129</v>
      </c>
      <c r="B219" s="119">
        <v>25</v>
      </c>
      <c r="C219" s="130" t="s">
        <v>202</v>
      </c>
      <c r="D219" s="106">
        <v>242000</v>
      </c>
      <c r="E219" s="106">
        <v>192000</v>
      </c>
      <c r="F219" s="117">
        <f t="shared" si="13"/>
        <v>434000</v>
      </c>
      <c r="G219" s="106">
        <v>242000</v>
      </c>
      <c r="H219" s="106">
        <f>0</f>
        <v>0</v>
      </c>
      <c r="I219" s="117">
        <f t="shared" si="14"/>
        <v>242000</v>
      </c>
    </row>
    <row r="220" spans="1:9">
      <c r="A220" s="119">
        <v>130</v>
      </c>
      <c r="B220" s="119">
        <v>26</v>
      </c>
      <c r="C220" s="130" t="s">
        <v>203</v>
      </c>
      <c r="D220" s="106">
        <f>0</f>
        <v>0</v>
      </c>
      <c r="E220" s="106">
        <f>0</f>
        <v>0</v>
      </c>
      <c r="F220" s="117">
        <f t="shared" si="13"/>
        <v>0</v>
      </c>
      <c r="G220" s="106">
        <f>0</f>
        <v>0</v>
      </c>
      <c r="H220" s="106">
        <f>0</f>
        <v>0</v>
      </c>
      <c r="I220" s="117">
        <f t="shared" si="14"/>
        <v>0</v>
      </c>
    </row>
    <row r="221" spans="1:9">
      <c r="A221" s="119">
        <v>131</v>
      </c>
      <c r="B221" s="119">
        <v>27</v>
      </c>
      <c r="C221" s="130" t="s">
        <v>204</v>
      </c>
      <c r="D221" s="106">
        <v>1000000</v>
      </c>
      <c r="E221" s="106">
        <f>0</f>
        <v>0</v>
      </c>
      <c r="F221" s="117">
        <f t="shared" si="13"/>
        <v>1000000</v>
      </c>
      <c r="G221" s="106">
        <v>990000</v>
      </c>
      <c r="H221" s="106">
        <f>0</f>
        <v>0</v>
      </c>
      <c r="I221" s="117">
        <f t="shared" si="14"/>
        <v>990000</v>
      </c>
    </row>
    <row r="222" spans="1:9">
      <c r="A222" s="119">
        <v>132</v>
      </c>
      <c r="B222" s="119">
        <v>28</v>
      </c>
      <c r="C222" s="130" t="s">
        <v>205</v>
      </c>
      <c r="D222" s="106">
        <f>0</f>
        <v>0</v>
      </c>
      <c r="E222" s="106">
        <f>0</f>
        <v>0</v>
      </c>
      <c r="F222" s="117">
        <f t="shared" si="13"/>
        <v>0</v>
      </c>
      <c r="G222" s="106">
        <f>0</f>
        <v>0</v>
      </c>
      <c r="H222" s="106">
        <f>0</f>
        <v>0</v>
      </c>
      <c r="I222" s="117">
        <f t="shared" si="14"/>
        <v>0</v>
      </c>
    </row>
    <row r="223" spans="1:9">
      <c r="A223" s="119">
        <v>133</v>
      </c>
      <c r="B223" s="119">
        <v>29</v>
      </c>
      <c r="C223" s="130" t="s">
        <v>206</v>
      </c>
      <c r="D223" s="106">
        <f>0</f>
        <v>0</v>
      </c>
      <c r="E223" s="106">
        <f>840000</f>
        <v>840000</v>
      </c>
      <c r="F223" s="117">
        <f t="shared" si="13"/>
        <v>840000</v>
      </c>
      <c r="G223" s="106">
        <f>0</f>
        <v>0</v>
      </c>
      <c r="H223" s="106">
        <f>0</f>
        <v>0</v>
      </c>
      <c r="I223" s="117">
        <f t="shared" si="14"/>
        <v>0</v>
      </c>
    </row>
    <row r="224" spans="1:9">
      <c r="A224" s="119">
        <v>134</v>
      </c>
      <c r="B224" s="119">
        <v>30</v>
      </c>
      <c r="C224" s="130" t="s">
        <v>207</v>
      </c>
      <c r="D224" s="106">
        <f>0</f>
        <v>0</v>
      </c>
      <c r="E224" s="106">
        <f>0</f>
        <v>0</v>
      </c>
      <c r="F224" s="117">
        <f t="shared" si="13"/>
        <v>0</v>
      </c>
      <c r="G224" s="106">
        <f>0</f>
        <v>0</v>
      </c>
      <c r="H224" s="106">
        <f>0</f>
        <v>0</v>
      </c>
      <c r="I224" s="117">
        <f t="shared" si="14"/>
        <v>0</v>
      </c>
    </row>
    <row r="225" spans="1:9">
      <c r="A225" s="119">
        <v>135</v>
      </c>
      <c r="B225" s="119">
        <v>31</v>
      </c>
      <c r="C225" s="130" t="s">
        <v>208</v>
      </c>
      <c r="D225" s="106">
        <f>0</f>
        <v>0</v>
      </c>
      <c r="E225" s="106">
        <f>0</f>
        <v>0</v>
      </c>
      <c r="F225" s="117">
        <f t="shared" si="13"/>
        <v>0</v>
      </c>
      <c r="G225" s="106">
        <v>1020000</v>
      </c>
      <c r="H225" s="106">
        <f>0</f>
        <v>0</v>
      </c>
      <c r="I225" s="117">
        <f t="shared" si="14"/>
        <v>1020000</v>
      </c>
    </row>
    <row r="226" spans="1:9">
      <c r="A226" s="119">
        <v>136</v>
      </c>
      <c r="B226" s="119">
        <v>32</v>
      </c>
      <c r="C226" s="130" t="s">
        <v>209</v>
      </c>
      <c r="D226" s="106">
        <f>0</f>
        <v>0</v>
      </c>
      <c r="E226" s="106">
        <v>106000</v>
      </c>
      <c r="F226" s="117">
        <f t="shared" si="13"/>
        <v>106000</v>
      </c>
      <c r="G226" s="106">
        <f>0</f>
        <v>0</v>
      </c>
      <c r="H226" s="106">
        <v>106000</v>
      </c>
      <c r="I226" s="117">
        <f t="shared" si="14"/>
        <v>106000</v>
      </c>
    </row>
    <row r="227" spans="1:9">
      <c r="A227" s="119">
        <v>137</v>
      </c>
      <c r="B227" s="119">
        <v>33</v>
      </c>
      <c r="C227" s="130" t="s">
        <v>210</v>
      </c>
      <c r="D227" s="106">
        <f>0</f>
        <v>0</v>
      </c>
      <c r="E227" s="106">
        <f>0</f>
        <v>0</v>
      </c>
      <c r="F227" s="117">
        <f t="shared" si="13"/>
        <v>0</v>
      </c>
      <c r="G227" s="106">
        <f>0</f>
        <v>0</v>
      </c>
      <c r="H227" s="106">
        <f>0</f>
        <v>0</v>
      </c>
      <c r="I227" s="117">
        <f t="shared" si="14"/>
        <v>0</v>
      </c>
    </row>
    <row r="228" spans="1:9">
      <c r="A228" s="119">
        <v>138</v>
      </c>
      <c r="B228" s="119">
        <v>34</v>
      </c>
      <c r="C228" s="130" t="s">
        <v>211</v>
      </c>
      <c r="D228" s="106">
        <f>0</f>
        <v>0</v>
      </c>
      <c r="E228" s="106">
        <f>0</f>
        <v>0</v>
      </c>
      <c r="F228" s="117">
        <f t="shared" si="13"/>
        <v>0</v>
      </c>
      <c r="G228" s="106">
        <f>0</f>
        <v>0</v>
      </c>
      <c r="H228" s="106">
        <f>0</f>
        <v>0</v>
      </c>
      <c r="I228" s="117">
        <f t="shared" si="14"/>
        <v>0</v>
      </c>
    </row>
    <row r="229" spans="1:9">
      <c r="A229" s="119">
        <v>139</v>
      </c>
      <c r="B229" s="119">
        <v>35</v>
      </c>
      <c r="C229" s="130" t="s">
        <v>212</v>
      </c>
      <c r="D229" s="106">
        <f>0</f>
        <v>0</v>
      </c>
      <c r="E229" s="106">
        <f>0</f>
        <v>0</v>
      </c>
      <c r="F229" s="117">
        <f t="shared" si="13"/>
        <v>0</v>
      </c>
      <c r="G229" s="106">
        <f>0</f>
        <v>0</v>
      </c>
      <c r="H229" s="106">
        <f>0</f>
        <v>0</v>
      </c>
      <c r="I229" s="117">
        <f t="shared" si="14"/>
        <v>0</v>
      </c>
    </row>
    <row r="230" spans="1:9">
      <c r="A230" s="119">
        <v>140</v>
      </c>
      <c r="B230" s="119">
        <v>36</v>
      </c>
      <c r="C230" s="130" t="s">
        <v>213</v>
      </c>
      <c r="D230" s="106">
        <f>0</f>
        <v>0</v>
      </c>
      <c r="E230" s="106">
        <f>0</f>
        <v>0</v>
      </c>
      <c r="F230" s="117">
        <f t="shared" si="13"/>
        <v>0</v>
      </c>
      <c r="G230" s="106">
        <f>0</f>
        <v>0</v>
      </c>
      <c r="H230" s="106">
        <f>0</f>
        <v>0</v>
      </c>
      <c r="I230" s="117">
        <f t="shared" si="14"/>
        <v>0</v>
      </c>
    </row>
    <row r="231" spans="1:9">
      <c r="A231" s="119">
        <v>141</v>
      </c>
      <c r="B231" s="119">
        <v>37</v>
      </c>
      <c r="C231" s="130" t="s">
        <v>214</v>
      </c>
      <c r="D231" s="106">
        <f>0</f>
        <v>0</v>
      </c>
      <c r="E231" s="106">
        <f>0</f>
        <v>0</v>
      </c>
      <c r="F231" s="117">
        <f t="shared" si="13"/>
        <v>0</v>
      </c>
      <c r="G231" s="106">
        <f>0</f>
        <v>0</v>
      </c>
      <c r="H231" s="106">
        <f>0</f>
        <v>0</v>
      </c>
      <c r="I231" s="117">
        <f t="shared" si="14"/>
        <v>0</v>
      </c>
    </row>
    <row r="232" spans="1:9">
      <c r="A232" s="119">
        <v>142</v>
      </c>
      <c r="B232" s="119">
        <v>38</v>
      </c>
      <c r="C232" s="130" t="s">
        <v>215</v>
      </c>
      <c r="D232" s="106">
        <f>0</f>
        <v>0</v>
      </c>
      <c r="E232" s="106">
        <f>0</f>
        <v>0</v>
      </c>
      <c r="F232" s="117">
        <f t="shared" si="13"/>
        <v>0</v>
      </c>
      <c r="G232" s="106">
        <f>0</f>
        <v>0</v>
      </c>
      <c r="H232" s="106">
        <f>0</f>
        <v>0</v>
      </c>
      <c r="I232" s="117">
        <f t="shared" si="14"/>
        <v>0</v>
      </c>
    </row>
    <row r="233" spans="1:9">
      <c r="A233" s="119">
        <v>143</v>
      </c>
      <c r="B233" s="119">
        <v>39</v>
      </c>
      <c r="C233" s="130" t="s">
        <v>216</v>
      </c>
      <c r="D233" s="106">
        <f>0</f>
        <v>0</v>
      </c>
      <c r="E233" s="106">
        <f>88000+350000</f>
        <v>438000</v>
      </c>
      <c r="F233" s="117">
        <f t="shared" si="13"/>
        <v>438000</v>
      </c>
      <c r="G233" s="106">
        <f>0</f>
        <v>0</v>
      </c>
      <c r="H233" s="106">
        <v>350000</v>
      </c>
      <c r="I233" s="117">
        <f t="shared" si="14"/>
        <v>350000</v>
      </c>
    </row>
    <row r="234" spans="1:9">
      <c r="A234" s="119">
        <v>144</v>
      </c>
      <c r="B234" s="119">
        <v>40</v>
      </c>
      <c r="C234" s="130" t="s">
        <v>217</v>
      </c>
      <c r="D234" s="106">
        <f>0</f>
        <v>0</v>
      </c>
      <c r="E234" s="106">
        <f>0</f>
        <v>0</v>
      </c>
      <c r="F234" s="117">
        <f t="shared" si="13"/>
        <v>0</v>
      </c>
      <c r="G234" s="106">
        <f>0</f>
        <v>0</v>
      </c>
      <c r="H234" s="106">
        <f>0</f>
        <v>0</v>
      </c>
      <c r="I234" s="117">
        <f t="shared" si="14"/>
        <v>0</v>
      </c>
    </row>
    <row r="235" spans="1:9">
      <c r="A235" s="119">
        <v>145</v>
      </c>
      <c r="B235" s="119">
        <v>41</v>
      </c>
      <c r="C235" s="130" t="s">
        <v>218</v>
      </c>
      <c r="D235" s="106">
        <f>0</f>
        <v>0</v>
      </c>
      <c r="E235" s="106">
        <v>805000</v>
      </c>
      <c r="F235" s="117">
        <f t="shared" si="13"/>
        <v>805000</v>
      </c>
      <c r="G235" s="106">
        <f>0</f>
        <v>0</v>
      </c>
      <c r="H235" s="106">
        <f>0</f>
        <v>0</v>
      </c>
      <c r="I235" s="117">
        <f t="shared" si="14"/>
        <v>0</v>
      </c>
    </row>
    <row r="236" spans="1:9">
      <c r="A236" s="119">
        <v>146</v>
      </c>
      <c r="B236" s="119">
        <v>42</v>
      </c>
      <c r="C236" s="130" t="s">
        <v>219</v>
      </c>
      <c r="D236" s="106">
        <f>0</f>
        <v>0</v>
      </c>
      <c r="E236" s="106">
        <f>0</f>
        <v>0</v>
      </c>
      <c r="F236" s="117">
        <f t="shared" si="13"/>
        <v>0</v>
      </c>
      <c r="G236" s="106">
        <f>0</f>
        <v>0</v>
      </c>
      <c r="H236" s="106">
        <f>0</f>
        <v>0</v>
      </c>
      <c r="I236" s="117">
        <f t="shared" si="14"/>
        <v>0</v>
      </c>
    </row>
    <row r="237" spans="1:9">
      <c r="A237" s="119">
        <v>147</v>
      </c>
      <c r="B237" s="119">
        <v>43</v>
      </c>
      <c r="C237" s="130" t="s">
        <v>220</v>
      </c>
      <c r="D237" s="106">
        <v>200000</v>
      </c>
      <c r="E237" s="106">
        <f>0</f>
        <v>0</v>
      </c>
      <c r="F237" s="117">
        <f t="shared" si="13"/>
        <v>200000</v>
      </c>
      <c r="G237" s="106">
        <v>200000</v>
      </c>
      <c r="H237" s="106">
        <f>0</f>
        <v>0</v>
      </c>
      <c r="I237" s="117">
        <f t="shared" si="14"/>
        <v>200000</v>
      </c>
    </row>
    <row r="238" spans="1:9">
      <c r="A238" s="119">
        <v>148</v>
      </c>
      <c r="B238" s="119">
        <v>44</v>
      </c>
      <c r="C238" s="130" t="s">
        <v>221</v>
      </c>
      <c r="D238" s="106">
        <f>0</f>
        <v>0</v>
      </c>
      <c r="E238" s="106">
        <f>0</f>
        <v>0</v>
      </c>
      <c r="F238" s="117">
        <f t="shared" si="13"/>
        <v>0</v>
      </c>
      <c r="G238" s="106">
        <f>0</f>
        <v>0</v>
      </c>
      <c r="H238" s="106">
        <f>0</f>
        <v>0</v>
      </c>
      <c r="I238" s="117">
        <f t="shared" si="14"/>
        <v>0</v>
      </c>
    </row>
    <row r="239" spans="1:9">
      <c r="A239" s="119">
        <v>149</v>
      </c>
      <c r="B239" s="119">
        <v>45</v>
      </c>
      <c r="C239" s="130" t="s">
        <v>222</v>
      </c>
      <c r="D239" s="106">
        <f>0</f>
        <v>0</v>
      </c>
      <c r="E239" s="106">
        <f>0</f>
        <v>0</v>
      </c>
      <c r="F239" s="117">
        <f t="shared" si="13"/>
        <v>0</v>
      </c>
      <c r="G239" s="106">
        <f>0</f>
        <v>0</v>
      </c>
      <c r="H239" s="106">
        <f>0</f>
        <v>0</v>
      </c>
      <c r="I239" s="117">
        <f t="shared" si="14"/>
        <v>0</v>
      </c>
    </row>
    <row r="240" spans="1:9">
      <c r="A240" s="119">
        <v>150</v>
      </c>
      <c r="B240" s="119">
        <v>46</v>
      </c>
      <c r="C240" s="130" t="s">
        <v>223</v>
      </c>
      <c r="D240" s="106">
        <f>0</f>
        <v>0</v>
      </c>
      <c r="E240" s="106">
        <f>0</f>
        <v>0</v>
      </c>
      <c r="F240" s="117">
        <f t="shared" si="13"/>
        <v>0</v>
      </c>
      <c r="G240" s="106">
        <f>0</f>
        <v>0</v>
      </c>
      <c r="H240" s="106">
        <f>0</f>
        <v>0</v>
      </c>
      <c r="I240" s="117">
        <f t="shared" si="14"/>
        <v>0</v>
      </c>
    </row>
    <row r="241" spans="1:9">
      <c r="A241" s="119">
        <v>151</v>
      </c>
      <c r="B241" s="119">
        <v>47</v>
      </c>
      <c r="C241" s="130" t="s">
        <v>224</v>
      </c>
      <c r="D241" s="106">
        <f>0</f>
        <v>0</v>
      </c>
      <c r="E241" s="106">
        <f>0</f>
        <v>0</v>
      </c>
      <c r="F241" s="117">
        <f t="shared" si="13"/>
        <v>0</v>
      </c>
      <c r="G241" s="106">
        <f>0</f>
        <v>0</v>
      </c>
      <c r="H241" s="106">
        <f>0</f>
        <v>0</v>
      </c>
      <c r="I241" s="117">
        <f t="shared" si="14"/>
        <v>0</v>
      </c>
    </row>
    <row r="242" spans="1:9">
      <c r="A242" s="119">
        <v>152</v>
      </c>
      <c r="B242" s="119">
        <v>48</v>
      </c>
      <c r="C242" s="131" t="s">
        <v>225</v>
      </c>
      <c r="D242" s="106">
        <v>860000</v>
      </c>
      <c r="E242" s="106">
        <f>0</f>
        <v>0</v>
      </c>
      <c r="F242" s="117">
        <f t="shared" si="13"/>
        <v>860000</v>
      </c>
      <c r="G242" s="106">
        <v>860000</v>
      </c>
      <c r="H242" s="106">
        <f>0</f>
        <v>0</v>
      </c>
      <c r="I242" s="117">
        <f t="shared" si="14"/>
        <v>860000</v>
      </c>
    </row>
    <row r="243" spans="1:9">
      <c r="A243" s="132" t="s">
        <v>58</v>
      </c>
      <c r="B243" s="132"/>
      <c r="C243" s="132"/>
      <c r="D243" s="110">
        <f>SUM(D195:D242)</f>
        <v>5984819</v>
      </c>
      <c r="E243" s="110">
        <f>SUM(E195:E242)</f>
        <v>7655300</v>
      </c>
      <c r="F243" s="110">
        <f>SUM(D243:E243)</f>
        <v>13640119</v>
      </c>
      <c r="G243" s="110">
        <f>SUM(G195:G242)</f>
        <v>4548576</v>
      </c>
      <c r="H243" s="110">
        <f>SUM(H195:H242)</f>
        <v>3828200</v>
      </c>
      <c r="I243" s="110">
        <f>SUM(G243:H243)</f>
        <v>8376776</v>
      </c>
    </row>
    <row r="244" spans="1:9">
      <c r="A244" s="108" t="s">
        <v>226</v>
      </c>
      <c r="B244" s="109"/>
      <c r="C244" s="109"/>
      <c r="D244" s="109"/>
      <c r="E244" s="109"/>
      <c r="F244" s="109"/>
      <c r="G244" s="109"/>
      <c r="H244" s="109"/>
      <c r="I244" s="113"/>
    </row>
    <row r="245" spans="1:9">
      <c r="A245" s="119">
        <v>153</v>
      </c>
      <c r="B245" s="119">
        <v>1</v>
      </c>
      <c r="C245" s="125" t="s">
        <v>227</v>
      </c>
      <c r="D245" s="106">
        <v>1047855</v>
      </c>
      <c r="E245" s="106">
        <v>35000</v>
      </c>
      <c r="F245" s="117">
        <f>SUM(D245:E245)</f>
        <v>1082855</v>
      </c>
      <c r="G245" s="106">
        <v>1054403</v>
      </c>
      <c r="H245" s="106">
        <f>0</f>
        <v>0</v>
      </c>
      <c r="I245" s="117">
        <f>SUM(G245:H245)</f>
        <v>1054403</v>
      </c>
    </row>
    <row r="246" spans="1:9">
      <c r="A246" s="108" t="s">
        <v>101</v>
      </c>
      <c r="B246" s="109"/>
      <c r="C246" s="109"/>
      <c r="D246" s="110">
        <f>D245</f>
        <v>1047855</v>
      </c>
      <c r="E246" s="110">
        <f>E245</f>
        <v>35000</v>
      </c>
      <c r="F246" s="110">
        <f>SUM(D246:E246)</f>
        <v>1082855</v>
      </c>
      <c r="G246" s="110">
        <f>G245</f>
        <v>1054403</v>
      </c>
      <c r="H246" s="110">
        <f>H245</f>
        <v>0</v>
      </c>
      <c r="I246" s="110">
        <f>SUM(G246:H246)</f>
        <v>1054403</v>
      </c>
    </row>
    <row r="247" spans="1:9">
      <c r="A247" s="108" t="s">
        <v>228</v>
      </c>
      <c r="B247" s="109"/>
      <c r="C247" s="109"/>
      <c r="D247" s="109"/>
      <c r="E247" s="109"/>
      <c r="F247" s="109"/>
      <c r="G247" s="109"/>
      <c r="H247" s="109"/>
      <c r="I247" s="113"/>
    </row>
    <row r="248" spans="1:9">
      <c r="A248" s="119">
        <v>154</v>
      </c>
      <c r="B248" s="119">
        <v>1</v>
      </c>
      <c r="C248" s="133" t="s">
        <v>229</v>
      </c>
      <c r="D248" s="106">
        <f>0</f>
        <v>0</v>
      </c>
      <c r="E248" s="134">
        <f>0</f>
        <v>0</v>
      </c>
      <c r="F248" s="117">
        <f>SUM(D248:E248)</f>
        <v>0</v>
      </c>
      <c r="G248" s="106">
        <f>0</f>
        <v>0</v>
      </c>
      <c r="H248" s="134">
        <f>0</f>
        <v>0</v>
      </c>
      <c r="I248" s="117">
        <f>SUM(G248:H248)</f>
        <v>0</v>
      </c>
    </row>
    <row r="249" spans="1:9">
      <c r="A249" s="108" t="s">
        <v>101</v>
      </c>
      <c r="B249" s="109"/>
      <c r="C249" s="109"/>
      <c r="D249" s="110">
        <f>D248</f>
        <v>0</v>
      </c>
      <c r="E249" s="110">
        <f>E248</f>
        <v>0</v>
      </c>
      <c r="F249" s="110">
        <f>SUM(D249:E249)</f>
        <v>0</v>
      </c>
      <c r="G249" s="110">
        <f>G248</f>
        <v>0</v>
      </c>
      <c r="H249" s="110">
        <f>H248</f>
        <v>0</v>
      </c>
      <c r="I249" s="110">
        <f>SUM(G249:H249)</f>
        <v>0</v>
      </c>
    </row>
    <row r="250" spans="1:9">
      <c r="A250" s="108" t="s">
        <v>230</v>
      </c>
      <c r="B250" s="109"/>
      <c r="C250" s="109"/>
      <c r="D250" s="109"/>
      <c r="E250" s="109"/>
      <c r="F250" s="109"/>
      <c r="G250" s="109"/>
      <c r="H250" s="109"/>
      <c r="I250" s="113"/>
    </row>
    <row r="251" spans="1:9">
      <c r="A251" s="119">
        <v>155</v>
      </c>
      <c r="B251" s="119">
        <v>1</v>
      </c>
      <c r="C251" s="120" t="s">
        <v>231</v>
      </c>
      <c r="D251" s="106">
        <f>0</f>
        <v>0</v>
      </c>
      <c r="E251" s="106">
        <f>0</f>
        <v>0</v>
      </c>
      <c r="F251" s="117">
        <f>SUM(D251:E251)</f>
        <v>0</v>
      </c>
      <c r="G251" s="106">
        <f>0</f>
        <v>0</v>
      </c>
      <c r="H251" s="106">
        <f>0</f>
        <v>0</v>
      </c>
      <c r="I251" s="117">
        <f>SUM(G251:H251)</f>
        <v>0</v>
      </c>
    </row>
    <row r="252" spans="1:9">
      <c r="A252" s="119">
        <v>156</v>
      </c>
      <c r="B252" s="119">
        <v>2</v>
      </c>
      <c r="C252" s="120" t="s">
        <v>232</v>
      </c>
      <c r="D252" s="106">
        <v>640000</v>
      </c>
      <c r="E252" s="106">
        <f>635300+4347400</f>
        <v>4982700</v>
      </c>
      <c r="F252" s="117">
        <f t="shared" ref="F252:F272" si="15">SUM(D252:E252)</f>
        <v>5622700</v>
      </c>
      <c r="G252" s="106">
        <f>8413500+900000</f>
        <v>9313500</v>
      </c>
      <c r="H252" s="106">
        <f>0</f>
        <v>0</v>
      </c>
      <c r="I252" s="117">
        <f t="shared" ref="I252:I272" si="16">SUM(G252:H252)</f>
        <v>9313500</v>
      </c>
    </row>
    <row r="253" spans="1:9">
      <c r="A253" s="119">
        <v>157</v>
      </c>
      <c r="B253" s="119">
        <v>3</v>
      </c>
      <c r="C253" s="133" t="s">
        <v>233</v>
      </c>
      <c r="D253" s="106">
        <f>1200000+150000</f>
        <v>1350000</v>
      </c>
      <c r="E253" s="106">
        <f>1200000+100000</f>
        <v>1300000</v>
      </c>
      <c r="F253" s="117">
        <f t="shared" si="15"/>
        <v>2650000</v>
      </c>
      <c r="G253" s="106">
        <f>200000+50000</f>
        <v>250000</v>
      </c>
      <c r="H253" s="106">
        <v>200000</v>
      </c>
      <c r="I253" s="117">
        <f t="shared" si="16"/>
        <v>450000</v>
      </c>
    </row>
    <row r="254" spans="1:9">
      <c r="A254" s="119">
        <v>158</v>
      </c>
      <c r="B254" s="119">
        <v>4</v>
      </c>
      <c r="C254" s="133" t="s">
        <v>234</v>
      </c>
      <c r="D254" s="106">
        <v>117000</v>
      </c>
      <c r="E254" s="106">
        <f>0</f>
        <v>0</v>
      </c>
      <c r="F254" s="117">
        <f t="shared" si="15"/>
        <v>117000</v>
      </c>
      <c r="G254" s="106">
        <v>120000</v>
      </c>
      <c r="H254" s="106">
        <f>0</f>
        <v>0</v>
      </c>
      <c r="I254" s="117">
        <f t="shared" si="16"/>
        <v>120000</v>
      </c>
    </row>
    <row r="255" spans="1:9" s="189" customFormat="1">
      <c r="A255" s="186">
        <v>159</v>
      </c>
      <c r="B255" s="186">
        <v>5</v>
      </c>
      <c r="C255" s="135" t="s">
        <v>235</v>
      </c>
      <c r="D255" s="187">
        <v>30000</v>
      </c>
      <c r="E255" s="187">
        <f>0</f>
        <v>0</v>
      </c>
      <c r="F255" s="188">
        <f t="shared" si="15"/>
        <v>30000</v>
      </c>
      <c r="G255" s="187">
        <v>30000</v>
      </c>
      <c r="H255" s="187">
        <f>0</f>
        <v>0</v>
      </c>
      <c r="I255" s="188">
        <f t="shared" si="16"/>
        <v>30000</v>
      </c>
    </row>
    <row r="256" spans="1:9">
      <c r="A256" s="119">
        <v>160</v>
      </c>
      <c r="B256" s="119">
        <v>6</v>
      </c>
      <c r="C256" s="135" t="s">
        <v>236</v>
      </c>
      <c r="D256" s="106">
        <v>500000</v>
      </c>
      <c r="E256" s="106">
        <f>0</f>
        <v>0</v>
      </c>
      <c r="F256" s="117">
        <f t="shared" si="15"/>
        <v>500000</v>
      </c>
      <c r="G256" s="106">
        <f>0</f>
        <v>0</v>
      </c>
      <c r="H256" s="106">
        <f>0</f>
        <v>0</v>
      </c>
      <c r="I256" s="117">
        <f t="shared" si="16"/>
        <v>0</v>
      </c>
    </row>
    <row r="257" spans="1:9" s="189" customFormat="1">
      <c r="A257" s="186">
        <v>161</v>
      </c>
      <c r="B257" s="186">
        <v>7</v>
      </c>
      <c r="C257" s="135" t="s">
        <v>237</v>
      </c>
      <c r="D257" s="187">
        <f>0</f>
        <v>0</v>
      </c>
      <c r="E257" s="187">
        <v>40000000</v>
      </c>
      <c r="F257" s="188">
        <f t="shared" si="15"/>
        <v>40000000</v>
      </c>
      <c r="G257" s="187">
        <f>0</f>
        <v>0</v>
      </c>
      <c r="H257" s="187">
        <f>0</f>
        <v>0</v>
      </c>
      <c r="I257" s="188">
        <f t="shared" si="16"/>
        <v>0</v>
      </c>
    </row>
    <row r="258" spans="1:9" s="189" customFormat="1">
      <c r="A258" s="186">
        <v>162</v>
      </c>
      <c r="B258" s="186">
        <v>8</v>
      </c>
      <c r="C258" s="135" t="s">
        <v>238</v>
      </c>
      <c r="D258" s="187">
        <f>1590000+2033000</f>
        <v>3623000</v>
      </c>
      <c r="E258" s="187">
        <f>0</f>
        <v>0</v>
      </c>
      <c r="F258" s="188">
        <f t="shared" si="15"/>
        <v>3623000</v>
      </c>
      <c r="G258" s="187">
        <f>0</f>
        <v>0</v>
      </c>
      <c r="H258" s="187">
        <f>0</f>
        <v>0</v>
      </c>
      <c r="I258" s="188">
        <f t="shared" si="16"/>
        <v>0</v>
      </c>
    </row>
    <row r="259" spans="1:9" s="189" customFormat="1">
      <c r="A259" s="186">
        <v>163</v>
      </c>
      <c r="B259" s="186">
        <v>9</v>
      </c>
      <c r="C259" s="135" t="s">
        <v>239</v>
      </c>
      <c r="D259" s="187">
        <v>1000000</v>
      </c>
      <c r="E259" s="187">
        <f>0</f>
        <v>0</v>
      </c>
      <c r="F259" s="188">
        <f t="shared" si="15"/>
        <v>1000000</v>
      </c>
      <c r="G259" s="187">
        <f>0</f>
        <v>0</v>
      </c>
      <c r="H259" s="187">
        <f>0</f>
        <v>0</v>
      </c>
      <c r="I259" s="188">
        <f t="shared" si="16"/>
        <v>0</v>
      </c>
    </row>
    <row r="260" spans="1:9" s="189" customFormat="1">
      <c r="A260" s="186">
        <v>164</v>
      </c>
      <c r="B260" s="186">
        <v>10</v>
      </c>
      <c r="C260" s="135" t="s">
        <v>240</v>
      </c>
      <c r="D260" s="187">
        <v>1000000</v>
      </c>
      <c r="E260" s="187">
        <f>0</f>
        <v>0</v>
      </c>
      <c r="F260" s="188">
        <f t="shared" si="15"/>
        <v>1000000</v>
      </c>
      <c r="G260" s="187">
        <f>0</f>
        <v>0</v>
      </c>
      <c r="H260" s="187">
        <f>0</f>
        <v>0</v>
      </c>
      <c r="I260" s="188">
        <f t="shared" si="16"/>
        <v>0</v>
      </c>
    </row>
    <row r="261" spans="1:9" s="189" customFormat="1">
      <c r="A261" s="186">
        <v>165</v>
      </c>
      <c r="B261" s="186">
        <v>11</v>
      </c>
      <c r="C261" s="135" t="s">
        <v>241</v>
      </c>
      <c r="D261" s="187">
        <v>1425700</v>
      </c>
      <c r="E261" s="187">
        <v>1257500</v>
      </c>
      <c r="F261" s="188">
        <f t="shared" si="15"/>
        <v>2683200</v>
      </c>
      <c r="G261" s="187">
        <f>0</f>
        <v>0</v>
      </c>
      <c r="H261" s="187">
        <f>0</f>
        <v>0</v>
      </c>
      <c r="I261" s="188">
        <f t="shared" si="16"/>
        <v>0</v>
      </c>
    </row>
    <row r="262" spans="1:9" s="189" customFormat="1">
      <c r="A262" s="186">
        <v>166</v>
      </c>
      <c r="B262" s="186">
        <v>12</v>
      </c>
      <c r="C262" s="136" t="s">
        <v>242</v>
      </c>
      <c r="D262" s="187">
        <v>300000</v>
      </c>
      <c r="E262" s="187">
        <v>800000</v>
      </c>
      <c r="F262" s="188">
        <f t="shared" si="15"/>
        <v>1100000</v>
      </c>
      <c r="G262" s="187">
        <f>0</f>
        <v>0</v>
      </c>
      <c r="H262" s="187">
        <f>0</f>
        <v>0</v>
      </c>
      <c r="I262" s="188">
        <f t="shared" si="16"/>
        <v>0</v>
      </c>
    </row>
    <row r="263" spans="1:9" s="189" customFormat="1">
      <c r="A263" s="186">
        <v>167</v>
      </c>
      <c r="B263" s="186">
        <v>13</v>
      </c>
      <c r="C263" s="135" t="s">
        <v>243</v>
      </c>
      <c r="D263" s="187">
        <f>0</f>
        <v>0</v>
      </c>
      <c r="E263" s="187">
        <v>300000</v>
      </c>
      <c r="F263" s="188">
        <f t="shared" si="15"/>
        <v>300000</v>
      </c>
      <c r="G263" s="187">
        <f>0</f>
        <v>0</v>
      </c>
      <c r="H263" s="187">
        <f>0</f>
        <v>0</v>
      </c>
      <c r="I263" s="188">
        <f t="shared" si="16"/>
        <v>0</v>
      </c>
    </row>
    <row r="264" spans="1:9" s="189" customFormat="1">
      <c r="A264" s="186">
        <v>168</v>
      </c>
      <c r="B264" s="186">
        <v>14</v>
      </c>
      <c r="C264" s="135" t="s">
        <v>244</v>
      </c>
      <c r="D264" s="187">
        <f>0</f>
        <v>0</v>
      </c>
      <c r="E264" s="187">
        <f>0</f>
        <v>0</v>
      </c>
      <c r="F264" s="188">
        <f t="shared" si="15"/>
        <v>0</v>
      </c>
      <c r="G264" s="187">
        <v>10600</v>
      </c>
      <c r="H264" s="187">
        <f>0</f>
        <v>0</v>
      </c>
      <c r="I264" s="188">
        <f t="shared" si="16"/>
        <v>10600</v>
      </c>
    </row>
    <row r="265" spans="1:9" s="189" customFormat="1">
      <c r="A265" s="186">
        <v>169</v>
      </c>
      <c r="B265" s="186">
        <v>15</v>
      </c>
      <c r="C265" s="135" t="s">
        <v>245</v>
      </c>
      <c r="D265" s="187">
        <f>0</f>
        <v>0</v>
      </c>
      <c r="E265" s="187">
        <f>0</f>
        <v>0</v>
      </c>
      <c r="F265" s="188">
        <f t="shared" si="15"/>
        <v>0</v>
      </c>
      <c r="G265" s="187">
        <v>30600</v>
      </c>
      <c r="H265" s="187">
        <f>0</f>
        <v>0</v>
      </c>
      <c r="I265" s="188">
        <f t="shared" si="16"/>
        <v>30600</v>
      </c>
    </row>
    <row r="266" spans="1:9" s="189" customFormat="1">
      <c r="A266" s="186">
        <v>170</v>
      </c>
      <c r="B266" s="186">
        <v>16</v>
      </c>
      <c r="C266" s="135" t="s">
        <v>246</v>
      </c>
      <c r="D266" s="187">
        <f>0</f>
        <v>0</v>
      </c>
      <c r="E266" s="187">
        <f>0</f>
        <v>0</v>
      </c>
      <c r="F266" s="188">
        <f t="shared" si="15"/>
        <v>0</v>
      </c>
      <c r="G266" s="187">
        <f>200000+100000</f>
        <v>300000</v>
      </c>
      <c r="H266" s="187">
        <f>0</f>
        <v>0</v>
      </c>
      <c r="I266" s="188">
        <f t="shared" si="16"/>
        <v>300000</v>
      </c>
    </row>
    <row r="267" spans="1:9" s="189" customFormat="1">
      <c r="A267" s="186">
        <v>171</v>
      </c>
      <c r="B267" s="186">
        <v>17</v>
      </c>
      <c r="C267" s="135" t="s">
        <v>247</v>
      </c>
      <c r="D267" s="187">
        <f>0</f>
        <v>0</v>
      </c>
      <c r="E267" s="187">
        <f>0</f>
        <v>0</v>
      </c>
      <c r="F267" s="188">
        <f t="shared" si="15"/>
        <v>0</v>
      </c>
      <c r="G267" s="187">
        <v>2500000</v>
      </c>
      <c r="H267" s="187">
        <f>0</f>
        <v>0</v>
      </c>
      <c r="I267" s="188">
        <f t="shared" si="16"/>
        <v>2500000</v>
      </c>
    </row>
    <row r="268" spans="1:9" s="189" customFormat="1">
      <c r="A268" s="186">
        <v>172</v>
      </c>
      <c r="B268" s="186">
        <v>18</v>
      </c>
      <c r="C268" s="135" t="s">
        <v>248</v>
      </c>
      <c r="D268" s="187">
        <f>0</f>
        <v>0</v>
      </c>
      <c r="E268" s="187">
        <f>0</f>
        <v>0</v>
      </c>
      <c r="F268" s="188">
        <f t="shared" si="15"/>
        <v>0</v>
      </c>
      <c r="G268" s="187">
        <v>100000</v>
      </c>
      <c r="H268" s="187">
        <f>0</f>
        <v>0</v>
      </c>
      <c r="I268" s="188">
        <f t="shared" si="16"/>
        <v>100000</v>
      </c>
    </row>
    <row r="269" spans="1:9" s="189" customFormat="1">
      <c r="A269" s="186">
        <v>173</v>
      </c>
      <c r="B269" s="186">
        <v>19</v>
      </c>
      <c r="C269" s="135" t="s">
        <v>249</v>
      </c>
      <c r="D269" s="187">
        <f>0</f>
        <v>0</v>
      </c>
      <c r="E269" s="187">
        <f>0</f>
        <v>0</v>
      </c>
      <c r="F269" s="188">
        <f t="shared" si="15"/>
        <v>0</v>
      </c>
      <c r="G269" s="187">
        <v>2250000</v>
      </c>
      <c r="H269" s="187">
        <f>0</f>
        <v>0</v>
      </c>
      <c r="I269" s="188">
        <f t="shared" si="16"/>
        <v>2250000</v>
      </c>
    </row>
    <row r="270" spans="1:9" s="189" customFormat="1">
      <c r="A270" s="186">
        <v>174</v>
      </c>
      <c r="B270" s="186">
        <v>20</v>
      </c>
      <c r="C270" s="135" t="s">
        <v>250</v>
      </c>
      <c r="D270" s="187">
        <f>0</f>
        <v>0</v>
      </c>
      <c r="E270" s="187">
        <f>0</f>
        <v>0</v>
      </c>
      <c r="F270" s="188">
        <f t="shared" si="15"/>
        <v>0</v>
      </c>
      <c r="G270" s="187">
        <f>0</f>
        <v>0</v>
      </c>
      <c r="H270" s="187">
        <v>50000</v>
      </c>
      <c r="I270" s="188">
        <f t="shared" si="16"/>
        <v>50000</v>
      </c>
    </row>
    <row r="271" spans="1:9" s="189" customFormat="1">
      <c r="A271" s="186">
        <v>175</v>
      </c>
      <c r="B271" s="186">
        <v>21</v>
      </c>
      <c r="C271" s="135" t="s">
        <v>251</v>
      </c>
      <c r="D271" s="187">
        <f>0</f>
        <v>0</v>
      </c>
      <c r="E271" s="187">
        <f>0</f>
        <v>0</v>
      </c>
      <c r="F271" s="188">
        <f t="shared" si="15"/>
        <v>0</v>
      </c>
      <c r="G271" s="187">
        <f>0</f>
        <v>0</v>
      </c>
      <c r="H271" s="187">
        <v>150000</v>
      </c>
      <c r="I271" s="188">
        <f t="shared" si="16"/>
        <v>150000</v>
      </c>
    </row>
    <row r="272" spans="1:9">
      <c r="A272" s="119">
        <v>176</v>
      </c>
      <c r="B272" s="119">
        <v>22</v>
      </c>
      <c r="C272" s="133" t="s">
        <v>252</v>
      </c>
      <c r="D272" s="106">
        <f>0</f>
        <v>0</v>
      </c>
      <c r="E272" s="106">
        <f>0</f>
        <v>0</v>
      </c>
      <c r="F272" s="117">
        <f t="shared" si="15"/>
        <v>0</v>
      </c>
      <c r="G272" s="106">
        <f>0</f>
        <v>0</v>
      </c>
      <c r="H272" s="106">
        <f>0</f>
        <v>0</v>
      </c>
      <c r="I272" s="117">
        <f t="shared" si="16"/>
        <v>0</v>
      </c>
    </row>
    <row r="273" spans="1:9" ht="15.75" thickBot="1">
      <c r="A273" s="137" t="s">
        <v>101</v>
      </c>
      <c r="B273" s="138"/>
      <c r="C273" s="139"/>
      <c r="D273" s="140">
        <f>SUM(D251:D272)</f>
        <v>9985700</v>
      </c>
      <c r="E273" s="140">
        <f>SUM(E251:E272)</f>
        <v>48640200</v>
      </c>
      <c r="F273" s="140">
        <f>SUM(D273:E273)</f>
        <v>58625900</v>
      </c>
      <c r="G273" s="140">
        <f>SUM(G251:G272)</f>
        <v>14904700</v>
      </c>
      <c r="H273" s="140">
        <f>SUM(H251:H272)</f>
        <v>400000</v>
      </c>
      <c r="I273" s="140">
        <f>SUM(G273:H273)</f>
        <v>15304700</v>
      </c>
    </row>
    <row r="274" spans="1:9" ht="16.5" thickTop="1" thickBot="1">
      <c r="A274" s="141" t="s">
        <v>253</v>
      </c>
      <c r="B274" s="142"/>
      <c r="C274" s="142"/>
      <c r="D274" s="143">
        <f>D273+D249+D246+D243+D193+D168+D146+D124+D121+D118+D112+D100+D84+D72</f>
        <v>123770296</v>
      </c>
      <c r="E274" s="143">
        <f>E273+E249+E246+E243+E193+E168+E146+E124+E121+E118+E112+E100+E84+E72</f>
        <v>98952373</v>
      </c>
      <c r="F274" s="143">
        <f>SUM(D274:E274)</f>
        <v>222722669</v>
      </c>
      <c r="G274" s="143">
        <f>G273+G249+G246+G243+G193+G168+G146+G124+G121+G118+G112+G100+G84+G72</f>
        <v>128548302</v>
      </c>
      <c r="H274" s="143">
        <f>H273+H249+H246+H243+H193+H168+H146+H124+H121+H118+H112+H100+H84+H72</f>
        <v>45204051</v>
      </c>
      <c r="I274" s="143">
        <f>SUM(G274:H274)</f>
        <v>173752353</v>
      </c>
    </row>
    <row r="275" spans="1:9" ht="15.75" thickTop="1">
      <c r="A275" s="144"/>
      <c r="B275" s="145"/>
      <c r="C275" s="145"/>
      <c r="D275" s="145"/>
      <c r="E275" s="145"/>
      <c r="F275" s="145"/>
      <c r="G275" s="145"/>
      <c r="H275" s="145"/>
      <c r="I275" s="145"/>
    </row>
    <row r="276" spans="1:9">
      <c r="A276" s="146" t="s">
        <v>254</v>
      </c>
      <c r="B276" s="146"/>
      <c r="C276" s="146"/>
      <c r="D276" s="146"/>
      <c r="E276" s="146"/>
      <c r="F276" s="146"/>
      <c r="G276" s="146"/>
      <c r="H276" s="146"/>
      <c r="I276" s="146"/>
    </row>
    <row r="277" spans="1:9">
      <c r="A277" s="144"/>
      <c r="B277" s="147" t="s">
        <v>255</v>
      </c>
      <c r="C277" s="147"/>
      <c r="D277" s="147"/>
      <c r="E277" s="147"/>
      <c r="F277" s="147"/>
      <c r="G277" s="147"/>
      <c r="H277" s="147"/>
      <c r="I277" s="147"/>
    </row>
    <row r="278" spans="1:9">
      <c r="A278" s="148" t="s">
        <v>256</v>
      </c>
      <c r="B278" s="149" t="s">
        <v>23</v>
      </c>
      <c r="C278" s="150" t="s">
        <v>24</v>
      </c>
      <c r="D278" s="151"/>
      <c r="E278" s="151"/>
      <c r="F278" s="151"/>
      <c r="G278" s="151"/>
      <c r="H278" s="152"/>
      <c r="I278" s="153" t="s">
        <v>101</v>
      </c>
    </row>
    <row r="279" spans="1:9">
      <c r="A279" s="144"/>
      <c r="B279" s="154"/>
      <c r="C279" s="155"/>
      <c r="D279" s="156"/>
      <c r="E279" s="156"/>
      <c r="F279" s="156"/>
      <c r="G279" s="156"/>
      <c r="H279" s="157"/>
      <c r="I279" s="153" t="s">
        <v>257</v>
      </c>
    </row>
    <row r="280" spans="1:9">
      <c r="A280" s="144"/>
      <c r="B280" s="158"/>
      <c r="C280" s="159" t="s">
        <v>258</v>
      </c>
      <c r="D280" s="160"/>
      <c r="E280" s="160"/>
      <c r="F280" s="160"/>
      <c r="G280" s="160"/>
      <c r="H280" s="161"/>
      <c r="I280" s="162"/>
    </row>
    <row r="281" spans="1:9">
      <c r="A281" s="144"/>
      <c r="B281" s="163">
        <v>1</v>
      </c>
      <c r="C281" s="164" t="s">
        <v>259</v>
      </c>
      <c r="D281" s="165"/>
      <c r="E281" s="165"/>
      <c r="F281" s="165"/>
      <c r="G281" s="165"/>
      <c r="H281" s="166"/>
      <c r="I281" s="167">
        <v>9313500</v>
      </c>
    </row>
    <row r="282" spans="1:9">
      <c r="A282" s="168"/>
      <c r="B282" s="169" t="s">
        <v>58</v>
      </c>
      <c r="C282" s="170"/>
      <c r="D282" s="170"/>
      <c r="E282" s="170"/>
      <c r="F282" s="170"/>
      <c r="G282" s="170"/>
      <c r="H282" s="171"/>
      <c r="I282" s="172">
        <f>SUM(I281:I281)</f>
        <v>9313500</v>
      </c>
    </row>
    <row r="283" spans="1:9">
      <c r="A283" s="145"/>
      <c r="B283" s="145"/>
      <c r="C283" s="145"/>
      <c r="D283" s="145"/>
      <c r="E283" s="145"/>
      <c r="F283" s="145"/>
      <c r="G283" s="145"/>
      <c r="H283" s="145"/>
      <c r="I283" s="145"/>
    </row>
    <row r="284" spans="1:9">
      <c r="A284" s="148" t="s">
        <v>260</v>
      </c>
      <c r="B284" s="149" t="s">
        <v>23</v>
      </c>
      <c r="C284" s="150" t="s">
        <v>24</v>
      </c>
      <c r="D284" s="151"/>
      <c r="E284" s="151"/>
      <c r="F284" s="151"/>
      <c r="G284" s="151"/>
      <c r="H284" s="152"/>
      <c r="I284" s="153" t="s">
        <v>101</v>
      </c>
    </row>
    <row r="285" spans="1:9">
      <c r="A285" s="145"/>
      <c r="B285" s="154"/>
      <c r="C285" s="155"/>
      <c r="D285" s="156"/>
      <c r="E285" s="156"/>
      <c r="F285" s="156"/>
      <c r="G285" s="156"/>
      <c r="H285" s="157"/>
      <c r="I285" s="153" t="s">
        <v>257</v>
      </c>
    </row>
    <row r="286" spans="1:9">
      <c r="A286" s="145"/>
      <c r="B286" s="158"/>
      <c r="C286" s="159" t="s">
        <v>261</v>
      </c>
      <c r="D286" s="160"/>
      <c r="E286" s="160"/>
      <c r="F286" s="160"/>
      <c r="G286" s="160"/>
      <c r="H286" s="161"/>
      <c r="I286" s="173"/>
    </row>
    <row r="287" spans="1:9">
      <c r="A287" s="145"/>
      <c r="B287" s="163">
        <v>1</v>
      </c>
      <c r="C287" s="174" t="s">
        <v>262</v>
      </c>
      <c r="D287" s="175"/>
      <c r="E287" s="175"/>
      <c r="F287" s="175"/>
      <c r="G287" s="175"/>
      <c r="H287" s="175"/>
      <c r="I287" s="173">
        <v>40000000</v>
      </c>
    </row>
    <row r="288" spans="1:9">
      <c r="A288" s="145"/>
      <c r="B288" s="163">
        <v>2</v>
      </c>
      <c r="C288" s="176" t="s">
        <v>263</v>
      </c>
      <c r="D288" s="177"/>
      <c r="E288" s="177"/>
      <c r="F288" s="177"/>
      <c r="G288" s="177"/>
      <c r="H288" s="177"/>
      <c r="I288" s="173">
        <v>5430000</v>
      </c>
    </row>
    <row r="289" spans="1:9">
      <c r="A289" s="145"/>
      <c r="B289" s="163">
        <v>3</v>
      </c>
      <c r="C289" s="176" t="s">
        <v>264</v>
      </c>
      <c r="D289" s="177"/>
      <c r="E289" s="177"/>
      <c r="F289" s="177"/>
      <c r="G289" s="177"/>
      <c r="H289" s="177"/>
      <c r="I289" s="173">
        <v>158600</v>
      </c>
    </row>
    <row r="290" spans="1:9">
      <c r="A290" s="168"/>
      <c r="B290" s="178" t="s">
        <v>58</v>
      </c>
      <c r="C290" s="179"/>
      <c r="D290" s="179"/>
      <c r="E290" s="179"/>
      <c r="F290" s="179"/>
      <c r="G290" s="179"/>
      <c r="H290" s="179"/>
      <c r="I290" s="172">
        <f>SUM(I287:I289)</f>
        <v>45588600</v>
      </c>
    </row>
    <row r="291" spans="1:9">
      <c r="A291" s="144"/>
      <c r="B291" s="144"/>
      <c r="C291" s="144"/>
      <c r="D291" s="144"/>
      <c r="E291" s="144"/>
      <c r="F291" s="144"/>
      <c r="G291" s="144"/>
      <c r="H291" s="144"/>
      <c r="I291" s="144" t="s">
        <v>265</v>
      </c>
    </row>
    <row r="292" spans="1:9">
      <c r="A292" s="144"/>
      <c r="B292" s="144"/>
      <c r="C292" s="144"/>
      <c r="D292" s="180"/>
      <c r="G292" s="180" t="s">
        <v>266</v>
      </c>
      <c r="H292" s="180"/>
    </row>
    <row r="293" spans="1:9">
      <c r="A293" s="144"/>
      <c r="B293" s="144"/>
      <c r="C293" s="180" t="s">
        <v>42</v>
      </c>
      <c r="D293" s="181"/>
      <c r="G293" s="180" t="s">
        <v>267</v>
      </c>
      <c r="H293" s="180"/>
    </row>
    <row r="294" spans="1:9">
      <c r="A294" s="144"/>
      <c r="B294" s="144"/>
      <c r="C294" s="144"/>
      <c r="D294" s="182"/>
      <c r="G294" s="144"/>
      <c r="H294" s="144"/>
    </row>
    <row r="295" spans="1:9">
      <c r="A295" s="144"/>
      <c r="B295" s="183"/>
      <c r="C295" s="184" t="s">
        <v>44</v>
      </c>
      <c r="D295" s="144"/>
      <c r="G295" s="184" t="s">
        <v>44</v>
      </c>
      <c r="H295" s="144"/>
    </row>
    <row r="296" spans="1:9">
      <c r="A296" s="144"/>
      <c r="B296" s="183"/>
      <c r="C296" s="180" t="s">
        <v>268</v>
      </c>
      <c r="D296" s="144"/>
      <c r="G296" s="180" t="s">
        <v>269</v>
      </c>
      <c r="H296" s="185"/>
    </row>
  </sheetData>
  <mergeCells count="63">
    <mergeCell ref="B282:H282"/>
    <mergeCell ref="B284:B285"/>
    <mergeCell ref="C284:H285"/>
    <mergeCell ref="C286:H286"/>
    <mergeCell ref="B290:H290"/>
    <mergeCell ref="A274:C274"/>
    <mergeCell ref="A276:I276"/>
    <mergeCell ref="B277:I277"/>
    <mergeCell ref="B278:B279"/>
    <mergeCell ref="C278:H279"/>
    <mergeCell ref="C280:H280"/>
    <mergeCell ref="A244:I244"/>
    <mergeCell ref="A246:C246"/>
    <mergeCell ref="A247:I247"/>
    <mergeCell ref="A249:C249"/>
    <mergeCell ref="A250:I250"/>
    <mergeCell ref="A273:C273"/>
    <mergeCell ref="A147:I147"/>
    <mergeCell ref="A168:C168"/>
    <mergeCell ref="A169:I169"/>
    <mergeCell ref="A193:C193"/>
    <mergeCell ref="A194:I194"/>
    <mergeCell ref="A243:C243"/>
    <mergeCell ref="A119:I119"/>
    <mergeCell ref="A121:C121"/>
    <mergeCell ref="A122:I122"/>
    <mergeCell ref="A124:C124"/>
    <mergeCell ref="A125:I125"/>
    <mergeCell ref="A146:C146"/>
    <mergeCell ref="A85:I85"/>
    <mergeCell ref="A100:C100"/>
    <mergeCell ref="A101:I101"/>
    <mergeCell ref="A112:C112"/>
    <mergeCell ref="A113:I113"/>
    <mergeCell ref="A118:C118"/>
    <mergeCell ref="D68:E68"/>
    <mergeCell ref="G68:H68"/>
    <mergeCell ref="A70:I70"/>
    <mergeCell ref="A72:C72"/>
    <mergeCell ref="A73:I73"/>
    <mergeCell ref="A84:C84"/>
    <mergeCell ref="E52:F52"/>
    <mergeCell ref="A63:I63"/>
    <mergeCell ref="A64:I64"/>
    <mergeCell ref="A65:I65"/>
    <mergeCell ref="A67:A69"/>
    <mergeCell ref="B67:C69"/>
    <mergeCell ref="D67:E67"/>
    <mergeCell ref="F67:F69"/>
    <mergeCell ref="G67:H67"/>
    <mergeCell ref="I67:I69"/>
    <mergeCell ref="A8:B8"/>
    <mergeCell ref="A9:B9"/>
    <mergeCell ref="A10:B10"/>
    <mergeCell ref="E23:F23"/>
    <mergeCell ref="E49:F49"/>
    <mergeCell ref="E51:F51"/>
    <mergeCell ref="A1:F1"/>
    <mergeCell ref="A2:F2"/>
    <mergeCell ref="A3:F3"/>
    <mergeCell ref="A4:F4"/>
    <mergeCell ref="A5:F5"/>
    <mergeCell ref="E7:F7"/>
  </mergeCells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7"/>
  <sheetViews>
    <sheetView topLeftCell="A289" workbookViewId="0">
      <selection activeCell="K81" sqref="K81"/>
    </sheetView>
  </sheetViews>
  <sheetFormatPr defaultRowHeight="15"/>
  <cols>
    <col min="1" max="1" width="5.140625" customWidth="1"/>
    <col min="2" max="2" width="5" customWidth="1"/>
    <col min="3" max="3" width="34.85546875" customWidth="1"/>
    <col min="4" max="4" width="18.7109375" customWidth="1"/>
    <col min="5" max="5" width="21.7109375" customWidth="1"/>
    <col min="6" max="6" width="18.7109375" customWidth="1"/>
    <col min="7" max="8" width="13.7109375" customWidth="1"/>
    <col min="9" max="9" width="14.7109375" customWidth="1"/>
  </cols>
  <sheetData>
    <row r="1" spans="1:6" ht="30">
      <c r="A1" s="244"/>
      <c r="B1" s="245" t="s">
        <v>597</v>
      </c>
      <c r="C1" s="245"/>
      <c r="D1" s="245"/>
      <c r="E1" s="245"/>
      <c r="F1" s="245"/>
    </row>
    <row r="2" spans="1:6" ht="29.25">
      <c r="A2" s="245" t="s">
        <v>1</v>
      </c>
      <c r="B2" s="245"/>
      <c r="C2" s="245"/>
      <c r="D2" s="245"/>
      <c r="E2" s="245"/>
      <c r="F2" s="245"/>
    </row>
    <row r="3" spans="1:6" ht="29.25">
      <c r="A3" s="245" t="s">
        <v>2</v>
      </c>
      <c r="B3" s="245"/>
      <c r="C3" s="245"/>
      <c r="D3" s="245"/>
      <c r="E3" s="245"/>
      <c r="F3" s="245"/>
    </row>
    <row r="4" spans="1:6">
      <c r="A4" s="3" t="s">
        <v>3</v>
      </c>
      <c r="B4" s="3"/>
      <c r="C4" s="3"/>
      <c r="D4" s="3"/>
      <c r="E4" s="3"/>
      <c r="F4" s="3"/>
    </row>
    <row r="5" spans="1:6" ht="15.75" thickBot="1">
      <c r="A5" s="209" t="s">
        <v>551</v>
      </c>
      <c r="B5" s="209"/>
      <c r="C5" s="209"/>
      <c r="D5" s="209"/>
      <c r="E5" s="209"/>
      <c r="F5" s="209"/>
    </row>
    <row r="6" spans="1:6" ht="15.75" thickTop="1">
      <c r="A6" s="5"/>
      <c r="B6" s="5"/>
      <c r="C6" s="5"/>
      <c r="D6" s="5"/>
      <c r="E6" s="5"/>
      <c r="F6" s="5"/>
    </row>
    <row r="7" spans="1:6" ht="18.75">
      <c r="A7" s="6"/>
      <c r="B7" s="6"/>
      <c r="C7" s="6"/>
      <c r="D7" s="6"/>
      <c r="E7" s="7" t="s">
        <v>598</v>
      </c>
      <c r="F7" s="7"/>
    </row>
    <row r="8" spans="1:6" ht="18.75">
      <c r="A8" s="8" t="s">
        <v>6</v>
      </c>
      <c r="B8" s="8"/>
      <c r="C8" s="9" t="s">
        <v>599</v>
      </c>
      <c r="D8" s="10"/>
      <c r="E8" s="9"/>
      <c r="F8" s="10"/>
    </row>
    <row r="9" spans="1:6" ht="18.75">
      <c r="A9" s="8" t="s">
        <v>8</v>
      </c>
      <c r="B9" s="8"/>
      <c r="C9" s="9" t="s">
        <v>9</v>
      </c>
      <c r="D9" s="10"/>
      <c r="E9" s="9"/>
      <c r="F9" s="9"/>
    </row>
    <row r="10" spans="1:6" ht="18.75">
      <c r="A10" s="8" t="s">
        <v>10</v>
      </c>
      <c r="B10" s="8"/>
      <c r="C10" s="9" t="s">
        <v>11</v>
      </c>
      <c r="D10" s="10"/>
      <c r="E10" s="9"/>
      <c r="F10" s="9"/>
    </row>
    <row r="11" spans="1:6" ht="18.75">
      <c r="A11" s="9"/>
      <c r="B11" s="9"/>
      <c r="C11" s="9"/>
      <c r="D11" s="9"/>
      <c r="E11" s="9"/>
      <c r="F11" s="9"/>
    </row>
    <row r="12" spans="1:6" ht="18.75">
      <c r="A12" s="9"/>
      <c r="B12" s="9" t="s">
        <v>12</v>
      </c>
      <c r="C12" s="10"/>
      <c r="D12" s="10"/>
      <c r="E12" s="9"/>
      <c r="F12" s="9"/>
    </row>
    <row r="13" spans="1:6" ht="18.75">
      <c r="A13" s="9"/>
      <c r="B13" s="9" t="s">
        <v>13</v>
      </c>
      <c r="C13" s="10"/>
      <c r="D13" s="10"/>
      <c r="E13" s="9"/>
      <c r="F13" s="9"/>
    </row>
    <row r="14" spans="1:6" ht="18.75">
      <c r="A14" s="9"/>
      <c r="B14" s="9" t="s">
        <v>14</v>
      </c>
      <c r="C14" s="10"/>
      <c r="D14" s="10"/>
      <c r="E14" s="9"/>
      <c r="F14" s="9"/>
    </row>
    <row r="15" spans="1:6" ht="18.75">
      <c r="A15" s="9"/>
      <c r="B15" s="9" t="s">
        <v>15</v>
      </c>
      <c r="C15" s="10"/>
      <c r="D15" s="10"/>
      <c r="E15" s="9"/>
      <c r="F15" s="9"/>
    </row>
    <row r="16" spans="1:6" ht="18.75">
      <c r="A16" s="9"/>
      <c r="B16" s="9" t="s">
        <v>16</v>
      </c>
      <c r="C16" s="10"/>
      <c r="D16" s="10"/>
      <c r="E16" s="9"/>
      <c r="F16" s="9"/>
    </row>
    <row r="17" spans="1:6" ht="18.75">
      <c r="A17" s="9"/>
      <c r="B17" s="9" t="s">
        <v>17</v>
      </c>
      <c r="C17" s="10"/>
      <c r="D17" s="10"/>
      <c r="E17" s="9"/>
      <c r="F17" s="9"/>
    </row>
    <row r="18" spans="1:6" ht="18.75">
      <c r="A18" s="9"/>
      <c r="B18" s="9" t="s">
        <v>512</v>
      </c>
      <c r="C18" s="9"/>
      <c r="D18" s="10"/>
      <c r="E18" s="9"/>
      <c r="F18" s="9"/>
    </row>
    <row r="19" spans="1:6" ht="18.75">
      <c r="A19" s="9"/>
      <c r="B19" s="9" t="s">
        <v>18</v>
      </c>
      <c r="C19" s="9"/>
      <c r="D19" s="10"/>
      <c r="E19" s="9"/>
      <c r="F19" s="9"/>
    </row>
    <row r="20" spans="1:6" ht="18.75">
      <c r="A20" s="9"/>
      <c r="B20" s="10"/>
      <c r="C20" s="9"/>
      <c r="D20" s="9"/>
      <c r="E20" s="9"/>
      <c r="F20" s="9"/>
    </row>
    <row r="21" spans="1:6" ht="19.5">
      <c r="A21" s="9"/>
      <c r="C21" s="11" t="s">
        <v>19</v>
      </c>
      <c r="D21" s="12"/>
      <c r="E21" s="9"/>
      <c r="F21" s="10"/>
    </row>
    <row r="22" spans="1:6" ht="18.75">
      <c r="B22" s="13" t="s">
        <v>554</v>
      </c>
      <c r="C22" s="13"/>
      <c r="D22" s="13"/>
      <c r="E22" s="13"/>
      <c r="F22" s="10"/>
    </row>
    <row r="23" spans="1:6" ht="18.75">
      <c r="B23" s="13" t="s">
        <v>600</v>
      </c>
      <c r="C23" s="13"/>
      <c r="D23" s="13"/>
      <c r="E23" s="13"/>
      <c r="F23" s="10"/>
    </row>
    <row r="24" spans="1:6" ht="15.75">
      <c r="A24" s="14"/>
      <c r="B24" s="14"/>
      <c r="C24" s="14"/>
      <c r="D24" s="14"/>
      <c r="E24" s="15" t="s">
        <v>22</v>
      </c>
      <c r="F24" s="15"/>
    </row>
    <row r="25" spans="1:6" ht="18.75">
      <c r="A25" s="14"/>
      <c r="B25" s="16" t="s">
        <v>23</v>
      </c>
      <c r="C25" s="16" t="s">
        <v>24</v>
      </c>
      <c r="D25" s="17" t="s">
        <v>25</v>
      </c>
      <c r="E25" s="17" t="s">
        <v>26</v>
      </c>
      <c r="F25" s="17" t="s">
        <v>27</v>
      </c>
    </row>
    <row r="26" spans="1:6" ht="18.75">
      <c r="A26" s="14"/>
      <c r="B26" s="18"/>
      <c r="C26" s="18"/>
      <c r="D26" s="19"/>
      <c r="E26" s="19"/>
      <c r="F26" s="19"/>
    </row>
    <row r="27" spans="1:6" ht="15.75">
      <c r="A27" s="14"/>
      <c r="B27" s="20">
        <v>1</v>
      </c>
      <c r="C27" s="21" t="s">
        <v>28</v>
      </c>
      <c r="D27" s="22"/>
      <c r="E27" s="22"/>
      <c r="F27" s="23"/>
    </row>
    <row r="28" spans="1:6" ht="15.75">
      <c r="A28" s="14"/>
      <c r="B28" s="20"/>
      <c r="C28" s="21" t="s">
        <v>29</v>
      </c>
      <c r="D28" s="22"/>
      <c r="E28" s="22"/>
      <c r="F28" s="23"/>
    </row>
    <row r="29" spans="1:6" ht="15.75">
      <c r="A29" s="14"/>
      <c r="B29" s="24"/>
      <c r="C29" s="25" t="s">
        <v>601</v>
      </c>
      <c r="D29" s="276"/>
      <c r="E29" s="276"/>
      <c r="F29" s="27">
        <f>[8]SEPTEMBER!F28</f>
        <v>1717445659</v>
      </c>
    </row>
    <row r="30" spans="1:6" ht="15.75">
      <c r="A30" s="14"/>
      <c r="B30" s="24"/>
      <c r="C30" s="25" t="s">
        <v>602</v>
      </c>
      <c r="D30" s="277">
        <v>126074999</v>
      </c>
      <c r="E30" s="278"/>
      <c r="F30" s="276"/>
    </row>
    <row r="31" spans="1:6" ht="15.75">
      <c r="A31" s="14"/>
      <c r="B31" s="24"/>
      <c r="C31" s="25" t="s">
        <v>603</v>
      </c>
      <c r="D31" s="276"/>
      <c r="E31" s="279">
        <f>3603593</f>
        <v>3603593</v>
      </c>
      <c r="F31" s="276"/>
    </row>
    <row r="32" spans="1:6" ht="15.75">
      <c r="A32" s="14"/>
      <c r="B32" s="24"/>
      <c r="C32" s="30" t="s">
        <v>33</v>
      </c>
      <c r="D32" s="276"/>
      <c r="E32" s="279"/>
      <c r="F32" s="27">
        <f>F29+D30-E31</f>
        <v>1839917065</v>
      </c>
    </row>
    <row r="33" spans="1:6" ht="15.75">
      <c r="A33" s="14"/>
      <c r="B33" s="20"/>
      <c r="C33" s="32" t="s">
        <v>34</v>
      </c>
      <c r="D33" s="280"/>
      <c r="E33" s="280"/>
      <c r="F33" s="281"/>
    </row>
    <row r="34" spans="1:6" ht="15.75">
      <c r="A34" s="14"/>
      <c r="B34" s="24"/>
      <c r="C34" s="35" t="s">
        <v>601</v>
      </c>
      <c r="D34" s="279"/>
      <c r="E34" s="282"/>
      <c r="F34" s="279">
        <f>[8]SEPTEMBER!F33</f>
        <v>2675000</v>
      </c>
    </row>
    <row r="35" spans="1:6" ht="15.75">
      <c r="A35" s="14"/>
      <c r="B35" s="24"/>
      <c r="C35" s="25" t="s">
        <v>602</v>
      </c>
      <c r="D35" s="283">
        <f>0</f>
        <v>0</v>
      </c>
      <c r="E35" s="282"/>
      <c r="F35" s="283"/>
    </row>
    <row r="36" spans="1:6" ht="15.75">
      <c r="A36" s="14"/>
      <c r="B36" s="24"/>
      <c r="C36" s="25" t="s">
        <v>603</v>
      </c>
      <c r="D36" s="279"/>
      <c r="E36" s="282">
        <f>0</f>
        <v>0</v>
      </c>
      <c r="F36" s="283"/>
    </row>
    <row r="37" spans="1:6" ht="15.75">
      <c r="A37" s="14"/>
      <c r="B37" s="24"/>
      <c r="C37" s="30" t="s">
        <v>33</v>
      </c>
      <c r="D37" s="284"/>
      <c r="E37" s="284"/>
      <c r="F37" s="27">
        <f>F34+D35-E36</f>
        <v>2675000</v>
      </c>
    </row>
    <row r="38" spans="1:6" ht="15.75">
      <c r="A38" s="14"/>
      <c r="B38" s="24"/>
      <c r="C38" s="30" t="s">
        <v>35</v>
      </c>
      <c r="D38" s="27">
        <f>D30+D35</f>
        <v>126074999</v>
      </c>
      <c r="E38" s="51">
        <f>E31+E36</f>
        <v>3603593</v>
      </c>
      <c r="F38" s="285">
        <f>F32+F37</f>
        <v>1842592065</v>
      </c>
    </row>
    <row r="39" spans="1:6" ht="15.75">
      <c r="A39" s="14"/>
      <c r="B39" s="20">
        <v>2</v>
      </c>
      <c r="C39" s="32" t="s">
        <v>36</v>
      </c>
      <c r="D39" s="280"/>
      <c r="E39" s="286"/>
      <c r="F39" s="287"/>
    </row>
    <row r="40" spans="1:6" ht="15.75">
      <c r="A40" s="14"/>
      <c r="B40" s="20"/>
      <c r="C40" s="32" t="s">
        <v>29</v>
      </c>
      <c r="D40" s="280"/>
      <c r="E40" s="286"/>
      <c r="F40" s="287"/>
    </row>
    <row r="41" spans="1:6" ht="15.75">
      <c r="A41" s="43"/>
      <c r="B41" s="24"/>
      <c r="C41" s="25" t="s">
        <v>604</v>
      </c>
      <c r="D41" s="276"/>
      <c r="E41" s="288"/>
      <c r="F41" s="51">
        <f>[8]SEPTEMBER!F40</f>
        <v>1131512212</v>
      </c>
    </row>
    <row r="42" spans="1:6" ht="15.75">
      <c r="A42" s="45"/>
      <c r="B42" s="24"/>
      <c r="C42" s="25" t="s">
        <v>602</v>
      </c>
      <c r="D42" s="289">
        <f>59463214</f>
        <v>59463214</v>
      </c>
      <c r="E42" s="290"/>
      <c r="F42" s="288"/>
    </row>
    <row r="43" spans="1:6" ht="15.75">
      <c r="A43" s="14"/>
      <c r="B43" s="24"/>
      <c r="C43" s="25" t="s">
        <v>603</v>
      </c>
      <c r="D43" s="278"/>
      <c r="E43" s="291">
        <f>45343307</f>
        <v>45343307</v>
      </c>
      <c r="F43" s="288"/>
    </row>
    <row r="44" spans="1:6" ht="15.75">
      <c r="A44" s="14"/>
      <c r="B44" s="20"/>
      <c r="C44" s="30" t="s">
        <v>37</v>
      </c>
      <c r="D44" s="284"/>
      <c r="E44" s="292"/>
      <c r="F44" s="51">
        <f>F41+D42-E43</f>
        <v>1145632119</v>
      </c>
    </row>
    <row r="45" spans="1:6" ht="15.75">
      <c r="A45" s="14"/>
      <c r="B45" s="24"/>
      <c r="C45" s="52" t="s">
        <v>605</v>
      </c>
      <c r="D45" s="53">
        <f>D30+D42</f>
        <v>185538213</v>
      </c>
      <c r="E45" s="53">
        <f>E31+E43</f>
        <v>48946900</v>
      </c>
      <c r="F45" s="31">
        <f>F38+F44</f>
        <v>2988224184</v>
      </c>
    </row>
    <row r="46" spans="1:6" ht="15.75">
      <c r="B46" s="293" t="s">
        <v>340</v>
      </c>
      <c r="C46" s="54"/>
      <c r="D46" s="54"/>
      <c r="E46" s="54"/>
      <c r="F46" s="54"/>
    </row>
    <row r="47" spans="1:6" ht="18.75">
      <c r="A47" s="55"/>
      <c r="B47" s="294" t="s">
        <v>341</v>
      </c>
      <c r="C47" s="10"/>
      <c r="D47" s="57"/>
      <c r="E47" s="10"/>
      <c r="F47" s="58"/>
    </row>
    <row r="48" spans="1:6" ht="18.75">
      <c r="A48" s="55"/>
      <c r="B48" s="294" t="s">
        <v>342</v>
      </c>
      <c r="C48" s="10"/>
      <c r="D48" s="57"/>
      <c r="E48" s="10"/>
      <c r="F48" s="58"/>
    </row>
    <row r="49" spans="1:9" ht="18.75">
      <c r="A49" s="55"/>
      <c r="B49" s="294" t="s">
        <v>343</v>
      </c>
      <c r="C49" s="10"/>
      <c r="D49" s="57"/>
      <c r="E49" s="10"/>
      <c r="F49" s="58"/>
    </row>
    <row r="50" spans="1:9" ht="18.75">
      <c r="A50" s="14"/>
      <c r="B50" s="59"/>
      <c r="C50" s="60" t="s">
        <v>40</v>
      </c>
      <c r="D50" s="61"/>
      <c r="E50" s="60"/>
      <c r="F50" s="58"/>
    </row>
    <row r="51" spans="1:9" ht="19.5">
      <c r="A51" s="62"/>
      <c r="B51" s="59"/>
      <c r="C51" s="63" t="s">
        <v>41</v>
      </c>
      <c r="D51" s="64"/>
      <c r="E51" s="65"/>
      <c r="F51" s="66"/>
    </row>
    <row r="52" spans="1:9" ht="18.75">
      <c r="A52" s="62"/>
      <c r="B52" s="62"/>
      <c r="C52" s="67" t="s">
        <v>42</v>
      </c>
      <c r="D52" s="10"/>
      <c r="E52" s="68" t="s">
        <v>560</v>
      </c>
      <c r="F52" s="68"/>
    </row>
    <row r="53" spans="1:9" ht="18.75">
      <c r="A53" s="62"/>
      <c r="B53" s="62"/>
      <c r="C53" s="67"/>
      <c r="D53" s="10"/>
      <c r="E53" s="69"/>
      <c r="F53" s="69"/>
    </row>
    <row r="54" spans="1:9" ht="18.75">
      <c r="A54" s="62"/>
      <c r="B54" s="62"/>
      <c r="C54" s="70" t="s">
        <v>344</v>
      </c>
      <c r="D54" s="71"/>
      <c r="E54" s="72" t="s">
        <v>344</v>
      </c>
      <c r="F54" s="72"/>
    </row>
    <row r="55" spans="1:9" ht="18.75">
      <c r="A55" s="62"/>
      <c r="B55" s="62"/>
      <c r="C55" s="73" t="s">
        <v>45</v>
      </c>
      <c r="D55" s="74"/>
      <c r="E55" s="75" t="s">
        <v>596</v>
      </c>
      <c r="F55" s="75"/>
    </row>
    <row r="56" spans="1:9" ht="18.75">
      <c r="A56" s="59"/>
      <c r="B56" s="246" t="s">
        <v>47</v>
      </c>
      <c r="C56" s="9"/>
      <c r="D56" s="77"/>
      <c r="E56" s="62"/>
      <c r="F56" s="62"/>
    </row>
    <row r="57" spans="1:9" ht="18.75">
      <c r="A57" s="59"/>
      <c r="B57" s="247" t="s">
        <v>48</v>
      </c>
      <c r="C57" s="9"/>
      <c r="D57" s="78"/>
      <c r="E57" s="62"/>
      <c r="F57" s="62"/>
    </row>
    <row r="58" spans="1:9" ht="18.75">
      <c r="A58" s="59"/>
      <c r="B58" s="247" t="s">
        <v>49</v>
      </c>
      <c r="C58" s="9"/>
      <c r="D58" s="14"/>
      <c r="E58" s="62"/>
      <c r="F58" s="62"/>
    </row>
    <row r="59" spans="1:9" ht="18.75">
      <c r="A59" s="59"/>
      <c r="B59" s="247" t="s">
        <v>50</v>
      </c>
      <c r="C59" s="9"/>
      <c r="D59" s="14"/>
      <c r="E59" s="62"/>
      <c r="F59" s="62"/>
    </row>
    <row r="60" spans="1:9" ht="18.75">
      <c r="A60" s="59"/>
      <c r="B60" s="247" t="s">
        <v>51</v>
      </c>
      <c r="C60" s="9"/>
      <c r="D60" s="14"/>
      <c r="E60" s="62"/>
      <c r="F60" s="62"/>
    </row>
    <row r="63" spans="1:9" ht="15.75">
      <c r="A63" s="230" t="s">
        <v>52</v>
      </c>
    </row>
    <row r="64" spans="1:9" ht="22.5">
      <c r="A64" s="81" t="s">
        <v>53</v>
      </c>
      <c r="B64" s="81"/>
      <c r="C64" s="81"/>
      <c r="D64" s="81"/>
      <c r="E64" s="81"/>
      <c r="F64" s="81"/>
      <c r="G64" s="81"/>
      <c r="H64" s="81"/>
      <c r="I64" s="81"/>
    </row>
    <row r="65" spans="1:9" ht="22.5">
      <c r="A65" s="81" t="s">
        <v>54</v>
      </c>
      <c r="B65" s="81"/>
      <c r="C65" s="81"/>
      <c r="D65" s="81"/>
      <c r="E65" s="81"/>
      <c r="F65" s="81"/>
      <c r="G65" s="81"/>
      <c r="H65" s="81"/>
      <c r="I65" s="81"/>
    </row>
    <row r="66" spans="1:9" ht="20.25">
      <c r="A66" s="82" t="s">
        <v>606</v>
      </c>
      <c r="B66" s="82"/>
      <c r="C66" s="82"/>
      <c r="D66" s="82"/>
      <c r="E66" s="82"/>
      <c r="F66" s="82"/>
      <c r="G66" s="82"/>
      <c r="H66" s="82"/>
      <c r="I66" s="82"/>
    </row>
    <row r="67" spans="1:9" ht="15.75" thickBot="1">
      <c r="A67" s="83"/>
      <c r="B67" s="83"/>
      <c r="C67" s="83"/>
      <c r="D67" s="83"/>
      <c r="E67" s="83"/>
      <c r="F67" s="83"/>
      <c r="G67" s="83"/>
      <c r="H67" s="83"/>
      <c r="I67" s="83"/>
    </row>
    <row r="68" spans="1:9" ht="15.75" thickTop="1">
      <c r="A68" s="84" t="s">
        <v>23</v>
      </c>
      <c r="B68" s="85" t="s">
        <v>56</v>
      </c>
      <c r="C68" s="86"/>
      <c r="D68" s="211" t="s">
        <v>57</v>
      </c>
      <c r="E68" s="212"/>
      <c r="F68" s="213" t="s">
        <v>58</v>
      </c>
      <c r="G68" s="211" t="s">
        <v>57</v>
      </c>
      <c r="H68" s="212"/>
      <c r="I68" s="89" t="s">
        <v>58</v>
      </c>
    </row>
    <row r="69" spans="1:9">
      <c r="A69" s="90"/>
      <c r="B69" s="91"/>
      <c r="C69" s="92"/>
      <c r="D69" s="214" t="s">
        <v>564</v>
      </c>
      <c r="E69" s="215"/>
      <c r="F69" s="216"/>
      <c r="G69" s="214" t="s">
        <v>607</v>
      </c>
      <c r="H69" s="215"/>
      <c r="I69" s="95"/>
    </row>
    <row r="70" spans="1:9">
      <c r="A70" s="96"/>
      <c r="B70" s="97"/>
      <c r="C70" s="98"/>
      <c r="D70" s="217" t="s">
        <v>28</v>
      </c>
      <c r="E70" s="217" t="s">
        <v>61</v>
      </c>
      <c r="F70" s="218"/>
      <c r="G70" s="217" t="s">
        <v>28</v>
      </c>
      <c r="H70" s="217" t="s">
        <v>61</v>
      </c>
      <c r="I70" s="100"/>
    </row>
    <row r="71" spans="1:9">
      <c r="A71" s="232" t="s">
        <v>520</v>
      </c>
      <c r="B71" s="233"/>
      <c r="C71" s="233"/>
      <c r="D71" s="233"/>
      <c r="E71" s="233"/>
      <c r="F71" s="233"/>
      <c r="G71" s="233"/>
      <c r="H71" s="233"/>
      <c r="I71" s="234"/>
    </row>
    <row r="72" spans="1:9">
      <c r="A72" s="235">
        <v>1</v>
      </c>
      <c r="B72" s="235">
        <v>1</v>
      </c>
      <c r="C72" s="236" t="s">
        <v>521</v>
      </c>
      <c r="D72" s="106">
        <f>0</f>
        <v>0</v>
      </c>
      <c r="E72" s="106">
        <f>0</f>
        <v>0</v>
      </c>
      <c r="F72" s="106">
        <f>SUM(D72:E72)</f>
        <v>0</v>
      </c>
      <c r="G72" s="106"/>
      <c r="H72" s="106">
        <v>1000000</v>
      </c>
      <c r="I72" s="117">
        <f>SUM(G72:H72)</f>
        <v>1000000</v>
      </c>
    </row>
    <row r="73" spans="1:9">
      <c r="A73" s="235">
        <v>2</v>
      </c>
      <c r="B73" s="235">
        <v>2</v>
      </c>
      <c r="C73" s="236" t="s">
        <v>608</v>
      </c>
      <c r="D73" s="106">
        <f>0</f>
        <v>0</v>
      </c>
      <c r="E73" s="106">
        <f>0</f>
        <v>0</v>
      </c>
      <c r="F73" s="106">
        <f>SUM(D73:E73)</f>
        <v>0</v>
      </c>
      <c r="G73" s="106"/>
      <c r="H73" s="106">
        <v>500000</v>
      </c>
      <c r="I73" s="117">
        <f>SUM(G73:H73)</f>
        <v>500000</v>
      </c>
    </row>
    <row r="74" spans="1:9">
      <c r="A74" s="108" t="s">
        <v>58</v>
      </c>
      <c r="B74" s="109"/>
      <c r="C74" s="109"/>
      <c r="D74" s="110">
        <f>D73</f>
        <v>0</v>
      </c>
      <c r="E74" s="111">
        <f>SUM(E72:E73)</f>
        <v>0</v>
      </c>
      <c r="F74" s="112">
        <f>SUM(D74:E74)</f>
        <v>0</v>
      </c>
      <c r="G74" s="110">
        <f>SUM(G72:G73)</f>
        <v>0</v>
      </c>
      <c r="H74" s="111">
        <f>SUM(H72:H73)</f>
        <v>1500000</v>
      </c>
      <c r="I74" s="110">
        <f>SUM(G74:H74)</f>
        <v>1500000</v>
      </c>
    </row>
    <row r="75" spans="1:9">
      <c r="A75" s="101" t="s">
        <v>62</v>
      </c>
      <c r="B75" s="102"/>
      <c r="C75" s="102"/>
      <c r="D75" s="102"/>
      <c r="E75" s="102"/>
      <c r="F75" s="102"/>
      <c r="G75" s="102"/>
      <c r="H75" s="102"/>
      <c r="I75" s="103"/>
    </row>
    <row r="76" spans="1:9">
      <c r="A76" s="104">
        <v>3</v>
      </c>
      <c r="B76" s="104">
        <v>1</v>
      </c>
      <c r="C76" s="105" t="s">
        <v>63</v>
      </c>
      <c r="D76" s="106">
        <v>1939200</v>
      </c>
      <c r="E76" s="106">
        <f>0</f>
        <v>0</v>
      </c>
      <c r="F76" s="106">
        <f>SUM(D76:E76)</f>
        <v>1939200</v>
      </c>
      <c r="G76" s="106"/>
      <c r="H76" s="106"/>
      <c r="I76" s="117">
        <f>SUM(G76:H76)</f>
        <v>0</v>
      </c>
    </row>
    <row r="77" spans="1:9">
      <c r="A77" s="108" t="s">
        <v>58</v>
      </c>
      <c r="B77" s="109"/>
      <c r="C77" s="109"/>
      <c r="D77" s="110">
        <f>D76</f>
        <v>1939200</v>
      </c>
      <c r="E77" s="111">
        <f>E76</f>
        <v>0</v>
      </c>
      <c r="F77" s="112">
        <f>SUM(D77:E77)</f>
        <v>1939200</v>
      </c>
      <c r="G77" s="110">
        <f>SUM(G75:G76)</f>
        <v>0</v>
      </c>
      <c r="H77" s="111">
        <f>SUM(H75:H76)</f>
        <v>0</v>
      </c>
      <c r="I77" s="110">
        <f>SUM(G77:H77)</f>
        <v>0</v>
      </c>
    </row>
    <row r="78" spans="1:9">
      <c r="A78" s="108" t="s">
        <v>64</v>
      </c>
      <c r="B78" s="109"/>
      <c r="C78" s="109"/>
      <c r="D78" s="109"/>
      <c r="E78" s="109"/>
      <c r="F78" s="109"/>
      <c r="G78" s="109"/>
      <c r="H78" s="109"/>
      <c r="I78" s="113"/>
    </row>
    <row r="79" spans="1:9">
      <c r="A79" s="114">
        <v>4</v>
      </c>
      <c r="B79" s="115">
        <v>1</v>
      </c>
      <c r="C79" s="116" t="s">
        <v>565</v>
      </c>
      <c r="D79" s="106">
        <f>1779500+15760250</f>
        <v>17539750</v>
      </c>
      <c r="E79" s="248">
        <f>504000+6525000</f>
        <v>7029000</v>
      </c>
      <c r="F79" s="117">
        <f t="shared" ref="F79:F89" si="0">SUM(D79:E79)</f>
        <v>24568750</v>
      </c>
      <c r="G79" s="106">
        <v>1779500</v>
      </c>
      <c r="H79" s="106">
        <v>504000</v>
      </c>
      <c r="I79" s="117">
        <f t="shared" ref="I79:I89" si="1">SUM(G79:H79)</f>
        <v>2283500</v>
      </c>
    </row>
    <row r="80" spans="1:9">
      <c r="A80" s="114">
        <v>5</v>
      </c>
      <c r="B80" s="115">
        <v>2</v>
      </c>
      <c r="C80" s="116" t="s">
        <v>66</v>
      </c>
      <c r="D80" s="106">
        <v>959587</v>
      </c>
      <c r="E80" s="248">
        <v>296550</v>
      </c>
      <c r="F80" s="117">
        <f t="shared" si="0"/>
        <v>1256137</v>
      </c>
      <c r="G80" s="106">
        <v>959587</v>
      </c>
      <c r="H80" s="106">
        <v>296550</v>
      </c>
      <c r="I80" s="117">
        <f t="shared" si="1"/>
        <v>1256137</v>
      </c>
    </row>
    <row r="81" spans="1:9">
      <c r="A81" s="114">
        <v>6</v>
      </c>
      <c r="B81" s="115">
        <v>3</v>
      </c>
      <c r="C81" s="116" t="s">
        <v>67</v>
      </c>
      <c r="D81" s="106">
        <v>2542500</v>
      </c>
      <c r="E81" s="249">
        <v>269300</v>
      </c>
      <c r="F81" s="117">
        <f t="shared" si="0"/>
        <v>2811800</v>
      </c>
      <c r="G81" s="106">
        <v>2542500</v>
      </c>
      <c r="H81" s="118">
        <v>269300</v>
      </c>
      <c r="I81" s="117">
        <f t="shared" si="1"/>
        <v>2811800</v>
      </c>
    </row>
    <row r="82" spans="1:9">
      <c r="A82" s="114">
        <v>7</v>
      </c>
      <c r="B82" s="115">
        <v>4</v>
      </c>
      <c r="C82" s="116" t="s">
        <v>68</v>
      </c>
      <c r="D82" s="106">
        <v>1467063</v>
      </c>
      <c r="E82" s="248">
        <v>44000</v>
      </c>
      <c r="F82" s="117">
        <f t="shared" si="0"/>
        <v>1511063</v>
      </c>
      <c r="G82" s="106">
        <v>1467063</v>
      </c>
      <c r="H82" s="106">
        <v>44000</v>
      </c>
      <c r="I82" s="117">
        <f t="shared" si="1"/>
        <v>1511063</v>
      </c>
    </row>
    <row r="83" spans="1:9">
      <c r="A83" s="114">
        <v>8</v>
      </c>
      <c r="B83" s="115">
        <v>5</v>
      </c>
      <c r="C83" s="116" t="s">
        <v>69</v>
      </c>
      <c r="D83" s="106">
        <v>2114100</v>
      </c>
      <c r="E83" s="248">
        <v>147300</v>
      </c>
      <c r="F83" s="117">
        <f t="shared" si="0"/>
        <v>2261400</v>
      </c>
      <c r="G83" s="106">
        <v>2117600</v>
      </c>
      <c r="H83" s="106">
        <v>147300</v>
      </c>
      <c r="I83" s="117">
        <f t="shared" si="1"/>
        <v>2264900</v>
      </c>
    </row>
    <row r="84" spans="1:9">
      <c r="A84" s="114">
        <v>9</v>
      </c>
      <c r="B84" s="115">
        <v>6</v>
      </c>
      <c r="C84" s="116" t="s">
        <v>426</v>
      </c>
      <c r="D84" s="106">
        <v>3765200</v>
      </c>
      <c r="E84" s="248"/>
      <c r="F84" s="117">
        <f t="shared" si="0"/>
        <v>3765200</v>
      </c>
      <c r="G84" s="106">
        <v>3761450</v>
      </c>
      <c r="H84" s="106"/>
      <c r="I84" s="117">
        <f t="shared" si="1"/>
        <v>3761450</v>
      </c>
    </row>
    <row r="85" spans="1:9">
      <c r="A85" s="114">
        <v>10</v>
      </c>
      <c r="B85" s="115">
        <v>7</v>
      </c>
      <c r="C85" s="116" t="s">
        <v>71</v>
      </c>
      <c r="D85" s="106">
        <v>1507700</v>
      </c>
      <c r="E85" s="248">
        <v>1964500</v>
      </c>
      <c r="F85" s="117">
        <f t="shared" si="0"/>
        <v>3472200</v>
      </c>
      <c r="G85" s="106">
        <v>1507700</v>
      </c>
      <c r="H85" s="106">
        <v>1964500</v>
      </c>
      <c r="I85" s="117">
        <f t="shared" si="1"/>
        <v>3472200</v>
      </c>
    </row>
    <row r="86" spans="1:9">
      <c r="A86" s="114">
        <v>11</v>
      </c>
      <c r="B86" s="115">
        <v>8</v>
      </c>
      <c r="C86" s="116" t="s">
        <v>72</v>
      </c>
      <c r="D86" s="106">
        <f>610000+610000</f>
        <v>1220000</v>
      </c>
      <c r="E86" s="248">
        <f>875000+860000</f>
        <v>1735000</v>
      </c>
      <c r="F86" s="117">
        <f t="shared" si="0"/>
        <v>2955000</v>
      </c>
      <c r="G86" s="106">
        <v>610000</v>
      </c>
      <c r="H86" s="106">
        <v>855000</v>
      </c>
      <c r="I86" s="117">
        <f t="shared" si="1"/>
        <v>1465000</v>
      </c>
    </row>
    <row r="87" spans="1:9">
      <c r="A87" s="114">
        <v>12</v>
      </c>
      <c r="B87" s="115">
        <v>9</v>
      </c>
      <c r="C87" s="116" t="s">
        <v>73</v>
      </c>
      <c r="D87" s="106">
        <v>1526250</v>
      </c>
      <c r="E87" s="248">
        <v>52000</v>
      </c>
      <c r="F87" s="117">
        <f t="shared" si="0"/>
        <v>1578250</v>
      </c>
      <c r="G87" s="106">
        <v>1526250</v>
      </c>
      <c r="H87" s="106">
        <v>52000</v>
      </c>
      <c r="I87" s="117">
        <f t="shared" si="1"/>
        <v>1578250</v>
      </c>
    </row>
    <row r="88" spans="1:9">
      <c r="A88" s="114">
        <v>13</v>
      </c>
      <c r="B88" s="115">
        <v>10</v>
      </c>
      <c r="C88" s="119" t="s">
        <v>74</v>
      </c>
      <c r="D88" s="106">
        <v>320515</v>
      </c>
      <c r="E88" s="248">
        <v>58000</v>
      </c>
      <c r="F88" s="117">
        <f t="shared" si="0"/>
        <v>378515</v>
      </c>
      <c r="G88" s="106">
        <v>320515</v>
      </c>
      <c r="H88" s="106">
        <v>58000</v>
      </c>
      <c r="I88" s="117">
        <f t="shared" si="1"/>
        <v>378515</v>
      </c>
    </row>
    <row r="89" spans="1:9">
      <c r="A89" s="108" t="s">
        <v>58</v>
      </c>
      <c r="B89" s="109"/>
      <c r="C89" s="109"/>
      <c r="D89" s="110">
        <f>SUM(D79:D88)</f>
        <v>32962665</v>
      </c>
      <c r="E89" s="110">
        <f>SUM(E79:E88)</f>
        <v>11595650</v>
      </c>
      <c r="F89" s="110">
        <f t="shared" si="0"/>
        <v>44558315</v>
      </c>
      <c r="G89" s="110">
        <f>SUM(G79:G88)</f>
        <v>16592165</v>
      </c>
      <c r="H89" s="110">
        <f>SUM(H79:H88)</f>
        <v>4190650</v>
      </c>
      <c r="I89" s="110">
        <f t="shared" si="1"/>
        <v>20782815</v>
      </c>
    </row>
    <row r="90" spans="1:9">
      <c r="A90" s="108" t="s">
        <v>75</v>
      </c>
      <c r="B90" s="109"/>
      <c r="C90" s="109"/>
      <c r="D90" s="109"/>
      <c r="E90" s="109"/>
      <c r="F90" s="109"/>
      <c r="G90" s="109"/>
      <c r="H90" s="109"/>
      <c r="I90" s="113"/>
    </row>
    <row r="91" spans="1:9">
      <c r="A91" s="120">
        <v>14</v>
      </c>
      <c r="B91" s="119">
        <v>1</v>
      </c>
      <c r="C91" s="116" t="s">
        <v>76</v>
      </c>
      <c r="D91" s="106">
        <v>2661978</v>
      </c>
      <c r="E91" s="250">
        <v>1854215</v>
      </c>
      <c r="F91" s="117">
        <f>SUM(D91:E91)</f>
        <v>4516193</v>
      </c>
      <c r="G91" s="106">
        <v>2661978</v>
      </c>
      <c r="H91" s="219">
        <v>1838215</v>
      </c>
      <c r="I91" s="117">
        <f>SUM(G91:H91)</f>
        <v>4500193</v>
      </c>
    </row>
    <row r="92" spans="1:9">
      <c r="A92" s="120">
        <v>15</v>
      </c>
      <c r="B92" s="119">
        <v>2</v>
      </c>
      <c r="C92" s="116" t="s">
        <v>77</v>
      </c>
      <c r="D92" s="106">
        <v>3627686</v>
      </c>
      <c r="E92" s="248">
        <v>5150000</v>
      </c>
      <c r="F92" s="117">
        <f t="shared" ref="F92:F104" si="2">SUM(D92:E92)</f>
        <v>8777686</v>
      </c>
      <c r="G92" s="106">
        <v>3692588</v>
      </c>
      <c r="H92" s="106">
        <v>5125000</v>
      </c>
      <c r="I92" s="117">
        <f t="shared" ref="I92:I104" si="3">SUM(G92:H92)</f>
        <v>8817588</v>
      </c>
    </row>
    <row r="93" spans="1:9">
      <c r="A93" s="120">
        <v>16</v>
      </c>
      <c r="B93" s="119">
        <v>3</v>
      </c>
      <c r="C93" s="116" t="s">
        <v>78</v>
      </c>
      <c r="D93" s="106">
        <v>2777300</v>
      </c>
      <c r="E93" s="248">
        <v>784000</v>
      </c>
      <c r="F93" s="117">
        <f t="shared" si="2"/>
        <v>3561300</v>
      </c>
      <c r="G93" s="106">
        <v>2769828</v>
      </c>
      <c r="H93" s="106">
        <v>780000</v>
      </c>
      <c r="I93" s="117">
        <f t="shared" si="3"/>
        <v>3549828</v>
      </c>
    </row>
    <row r="94" spans="1:9">
      <c r="A94" s="120">
        <v>17</v>
      </c>
      <c r="B94" s="119">
        <v>4</v>
      </c>
      <c r="C94" s="116" t="s">
        <v>79</v>
      </c>
      <c r="D94" s="106">
        <v>966440</v>
      </c>
      <c r="E94" s="248">
        <v>1430392</v>
      </c>
      <c r="F94" s="117">
        <f t="shared" si="2"/>
        <v>2396832</v>
      </c>
      <c r="G94" s="106">
        <v>966440</v>
      </c>
      <c r="H94" s="106">
        <v>1410392</v>
      </c>
      <c r="I94" s="117">
        <f t="shared" si="3"/>
        <v>2376832</v>
      </c>
    </row>
    <row r="95" spans="1:9">
      <c r="A95" s="120">
        <v>18</v>
      </c>
      <c r="B95" s="119">
        <v>5</v>
      </c>
      <c r="C95" s="116" t="s">
        <v>80</v>
      </c>
      <c r="D95" s="106"/>
      <c r="E95" s="248"/>
      <c r="F95" s="117">
        <f t="shared" si="2"/>
        <v>0</v>
      </c>
      <c r="G95" s="106">
        <v>5464400</v>
      </c>
      <c r="H95" s="106">
        <v>190000</v>
      </c>
      <c r="I95" s="117">
        <f t="shared" si="3"/>
        <v>5654400</v>
      </c>
    </row>
    <row r="96" spans="1:9">
      <c r="A96" s="120">
        <v>19</v>
      </c>
      <c r="B96" s="119">
        <v>6</v>
      </c>
      <c r="C96" s="116" t="s">
        <v>81</v>
      </c>
      <c r="D96" s="106">
        <v>1940500</v>
      </c>
      <c r="E96" s="248">
        <v>145000</v>
      </c>
      <c r="F96" s="117">
        <f t="shared" si="2"/>
        <v>2085500</v>
      </c>
      <c r="G96" s="106">
        <v>1940500</v>
      </c>
      <c r="H96" s="106">
        <v>133000</v>
      </c>
      <c r="I96" s="117">
        <f t="shared" si="3"/>
        <v>2073500</v>
      </c>
    </row>
    <row r="97" spans="1:9">
      <c r="A97" s="120">
        <v>20</v>
      </c>
      <c r="B97" s="119">
        <v>7</v>
      </c>
      <c r="C97" s="116" t="s">
        <v>82</v>
      </c>
      <c r="D97" s="106">
        <v>4083250</v>
      </c>
      <c r="E97" s="248">
        <v>189700</v>
      </c>
      <c r="F97" s="117">
        <f t="shared" si="2"/>
        <v>4272950</v>
      </c>
      <c r="G97" s="106">
        <v>4083250</v>
      </c>
      <c r="H97" s="106">
        <v>189700</v>
      </c>
      <c r="I97" s="117">
        <f t="shared" si="3"/>
        <v>4272950</v>
      </c>
    </row>
    <row r="98" spans="1:9">
      <c r="A98" s="120">
        <v>21</v>
      </c>
      <c r="B98" s="119">
        <v>8</v>
      </c>
      <c r="C98" s="116" t="s">
        <v>83</v>
      </c>
      <c r="D98" s="106">
        <v>1043529</v>
      </c>
      <c r="E98" s="248">
        <v>864700</v>
      </c>
      <c r="F98" s="117">
        <f t="shared" si="2"/>
        <v>1908229</v>
      </c>
      <c r="G98" s="106">
        <v>1068029</v>
      </c>
      <c r="H98" s="106">
        <v>864700</v>
      </c>
      <c r="I98" s="117">
        <f t="shared" si="3"/>
        <v>1932729</v>
      </c>
    </row>
    <row r="99" spans="1:9">
      <c r="A99" s="120">
        <v>22</v>
      </c>
      <c r="B99" s="119">
        <v>9</v>
      </c>
      <c r="C99" s="116" t="s">
        <v>84</v>
      </c>
      <c r="D99" s="106">
        <v>748000</v>
      </c>
      <c r="E99" s="248">
        <f>162000</f>
        <v>162000</v>
      </c>
      <c r="F99" s="117">
        <f t="shared" si="2"/>
        <v>910000</v>
      </c>
      <c r="G99" s="106"/>
      <c r="H99" s="106"/>
      <c r="I99" s="117">
        <f t="shared" si="3"/>
        <v>0</v>
      </c>
    </row>
    <row r="100" spans="1:9">
      <c r="A100" s="120">
        <v>23</v>
      </c>
      <c r="B100" s="119">
        <v>10</v>
      </c>
      <c r="C100" s="116" t="s">
        <v>85</v>
      </c>
      <c r="D100" s="106">
        <v>2999614</v>
      </c>
      <c r="E100" s="248">
        <v>58000</v>
      </c>
      <c r="F100" s="117">
        <f t="shared" si="2"/>
        <v>3057614</v>
      </c>
      <c r="G100" s="106">
        <v>3009562</v>
      </c>
      <c r="H100" s="106">
        <v>58000</v>
      </c>
      <c r="I100" s="117">
        <f t="shared" si="3"/>
        <v>3067562</v>
      </c>
    </row>
    <row r="101" spans="1:9">
      <c r="A101" s="120">
        <v>24</v>
      </c>
      <c r="B101" s="119">
        <v>11</v>
      </c>
      <c r="C101" s="116" t="s">
        <v>427</v>
      </c>
      <c r="D101" s="106">
        <v>2808439</v>
      </c>
      <c r="E101" s="248">
        <v>1340000</v>
      </c>
      <c r="F101" s="117">
        <f t="shared" si="2"/>
        <v>4148439</v>
      </c>
      <c r="G101" s="106">
        <v>2812067</v>
      </c>
      <c r="H101" s="106">
        <v>1340000</v>
      </c>
      <c r="I101" s="117">
        <f t="shared" si="3"/>
        <v>4152067</v>
      </c>
    </row>
    <row r="102" spans="1:9">
      <c r="A102" s="120">
        <v>25</v>
      </c>
      <c r="B102" s="119">
        <v>12</v>
      </c>
      <c r="C102" s="116" t="s">
        <v>87</v>
      </c>
      <c r="D102" s="106">
        <v>1572800</v>
      </c>
      <c r="E102" s="248">
        <v>464192</v>
      </c>
      <c r="F102" s="117">
        <f t="shared" si="2"/>
        <v>2036992</v>
      </c>
      <c r="G102" s="106">
        <v>1499800</v>
      </c>
      <c r="H102" s="106">
        <v>474192</v>
      </c>
      <c r="I102" s="117">
        <f t="shared" si="3"/>
        <v>1973992</v>
      </c>
    </row>
    <row r="103" spans="1:9">
      <c r="A103" s="120">
        <v>26</v>
      </c>
      <c r="B103" s="119">
        <v>13</v>
      </c>
      <c r="C103" s="116" t="s">
        <v>88</v>
      </c>
      <c r="D103" s="106">
        <v>1685000</v>
      </c>
      <c r="E103" s="250">
        <v>640000</v>
      </c>
      <c r="F103" s="117">
        <f t="shared" si="2"/>
        <v>2325000</v>
      </c>
      <c r="G103" s="106">
        <v>1806000</v>
      </c>
      <c r="H103" s="219">
        <v>635000</v>
      </c>
      <c r="I103" s="117">
        <f t="shared" si="3"/>
        <v>2441000</v>
      </c>
    </row>
    <row r="104" spans="1:9">
      <c r="A104" s="120">
        <v>27</v>
      </c>
      <c r="B104" s="119">
        <v>14</v>
      </c>
      <c r="C104" s="116" t="s">
        <v>89</v>
      </c>
      <c r="D104" s="106">
        <v>182000</v>
      </c>
      <c r="E104" s="248">
        <f>269000</f>
        <v>269000</v>
      </c>
      <c r="F104" s="117">
        <f t="shared" si="2"/>
        <v>451000</v>
      </c>
      <c r="G104" s="106">
        <v>182000</v>
      </c>
      <c r="H104" s="106">
        <v>269000</v>
      </c>
      <c r="I104" s="117">
        <f t="shared" si="3"/>
        <v>451000</v>
      </c>
    </row>
    <row r="105" spans="1:9">
      <c r="A105" s="108" t="s">
        <v>58</v>
      </c>
      <c r="B105" s="109"/>
      <c r="C105" s="109"/>
      <c r="D105" s="110">
        <f>SUM(D91:D104)</f>
        <v>27096536</v>
      </c>
      <c r="E105" s="110">
        <f>SUM(E91:E104)</f>
        <v>13351199</v>
      </c>
      <c r="F105" s="110">
        <f>SUM(D105:E105)</f>
        <v>40447735</v>
      </c>
      <c r="G105" s="110">
        <f>SUM(G91:G104)</f>
        <v>31956442</v>
      </c>
      <c r="H105" s="110">
        <f>SUM(H91:H104)</f>
        <v>13307199</v>
      </c>
      <c r="I105" s="110">
        <f>SUM(G105:H105)</f>
        <v>45263641</v>
      </c>
    </row>
    <row r="106" spans="1:9">
      <c r="A106" s="108" t="s">
        <v>90</v>
      </c>
      <c r="B106" s="109"/>
      <c r="C106" s="109"/>
      <c r="D106" s="109"/>
      <c r="E106" s="109"/>
      <c r="F106" s="109"/>
      <c r="G106" s="109"/>
      <c r="H106" s="109"/>
      <c r="I106" s="113"/>
    </row>
    <row r="107" spans="1:9">
      <c r="A107" s="119">
        <v>28</v>
      </c>
      <c r="B107" s="119">
        <v>1</v>
      </c>
      <c r="C107" s="116" t="s">
        <v>91</v>
      </c>
      <c r="D107" s="106">
        <v>350000</v>
      </c>
      <c r="E107" s="248">
        <v>305000</v>
      </c>
      <c r="F107" s="117">
        <f>SUM(D107:E107)</f>
        <v>655000</v>
      </c>
      <c r="G107" s="106">
        <v>350000</v>
      </c>
      <c r="H107" s="106">
        <v>305000</v>
      </c>
      <c r="I107" s="117">
        <f>SUM(G107:H107)</f>
        <v>655000</v>
      </c>
    </row>
    <row r="108" spans="1:9">
      <c r="A108" s="119">
        <v>29</v>
      </c>
      <c r="B108" s="119">
        <v>2</v>
      </c>
      <c r="C108" s="121" t="s">
        <v>92</v>
      </c>
      <c r="D108" s="106">
        <f>0</f>
        <v>0</v>
      </c>
      <c r="E108" s="248">
        <f>0</f>
        <v>0</v>
      </c>
      <c r="F108" s="117">
        <f t="shared" ref="F108:F115" si="4">SUM(D108:E108)</f>
        <v>0</v>
      </c>
      <c r="G108" s="106"/>
      <c r="H108" s="106"/>
      <c r="I108" s="117">
        <f t="shared" ref="I108:I115" si="5">SUM(G108:H108)</f>
        <v>0</v>
      </c>
    </row>
    <row r="109" spans="1:9">
      <c r="A109" s="119">
        <v>30</v>
      </c>
      <c r="B109" s="119">
        <v>3</v>
      </c>
      <c r="C109" s="121" t="s">
        <v>93</v>
      </c>
      <c r="D109" s="106">
        <v>1152000</v>
      </c>
      <c r="E109" s="248">
        <v>120000</v>
      </c>
      <c r="F109" s="117">
        <f>SUM(D109:E109)</f>
        <v>1272000</v>
      </c>
      <c r="G109" s="106"/>
      <c r="H109" s="106"/>
      <c r="I109" s="117">
        <f t="shared" si="5"/>
        <v>0</v>
      </c>
    </row>
    <row r="110" spans="1:9">
      <c r="A110" s="119">
        <v>31</v>
      </c>
      <c r="B110" s="119">
        <v>4</v>
      </c>
      <c r="C110" s="121" t="s">
        <v>94</v>
      </c>
      <c r="D110" s="106">
        <v>256000</v>
      </c>
      <c r="E110" s="248">
        <v>185000</v>
      </c>
      <c r="F110" s="117">
        <f t="shared" si="4"/>
        <v>441000</v>
      </c>
      <c r="G110" s="106">
        <v>255000</v>
      </c>
      <c r="H110" s="106">
        <v>185000</v>
      </c>
      <c r="I110" s="117">
        <f t="shared" si="5"/>
        <v>440000</v>
      </c>
    </row>
    <row r="111" spans="1:9">
      <c r="A111" s="119">
        <v>32</v>
      </c>
      <c r="B111" s="119">
        <v>5</v>
      </c>
      <c r="C111" s="121" t="s">
        <v>95</v>
      </c>
      <c r="D111" s="106">
        <v>148000</v>
      </c>
      <c r="E111" s="248">
        <v>260000</v>
      </c>
      <c r="F111" s="117">
        <f t="shared" si="4"/>
        <v>408000</v>
      </c>
      <c r="G111" s="106">
        <v>148000</v>
      </c>
      <c r="H111" s="106">
        <v>260000</v>
      </c>
      <c r="I111" s="117">
        <f t="shared" si="5"/>
        <v>408000</v>
      </c>
    </row>
    <row r="112" spans="1:9">
      <c r="A112" s="119">
        <v>33</v>
      </c>
      <c r="B112" s="119">
        <v>6</v>
      </c>
      <c r="C112" s="121" t="s">
        <v>96</v>
      </c>
      <c r="D112" s="106">
        <v>437500</v>
      </c>
      <c r="E112" s="248">
        <v>42000</v>
      </c>
      <c r="F112" s="117">
        <f t="shared" si="4"/>
        <v>479500</v>
      </c>
      <c r="G112" s="106">
        <v>441000</v>
      </c>
      <c r="H112" s="106">
        <v>42000</v>
      </c>
      <c r="I112" s="117">
        <f t="shared" si="5"/>
        <v>483000</v>
      </c>
    </row>
    <row r="113" spans="1:9">
      <c r="A113" s="119">
        <v>34</v>
      </c>
      <c r="B113" s="119">
        <v>7</v>
      </c>
      <c r="C113" s="121" t="s">
        <v>97</v>
      </c>
      <c r="D113" s="106">
        <v>640600</v>
      </c>
      <c r="E113" s="248">
        <v>306500</v>
      </c>
      <c r="F113" s="117">
        <f t="shared" si="4"/>
        <v>947100</v>
      </c>
      <c r="G113" s="106">
        <v>640600</v>
      </c>
      <c r="H113" s="106">
        <v>306500</v>
      </c>
      <c r="I113" s="117">
        <f t="shared" si="5"/>
        <v>947100</v>
      </c>
    </row>
    <row r="114" spans="1:9">
      <c r="A114" s="119">
        <v>35</v>
      </c>
      <c r="B114" s="119">
        <v>8</v>
      </c>
      <c r="C114" s="121" t="s">
        <v>98</v>
      </c>
      <c r="D114" s="106">
        <v>460400</v>
      </c>
      <c r="E114" s="248">
        <v>90000</v>
      </c>
      <c r="F114" s="117">
        <f t="shared" si="4"/>
        <v>550400</v>
      </c>
      <c r="G114" s="106">
        <v>460000</v>
      </c>
      <c r="H114" s="106">
        <v>90000</v>
      </c>
      <c r="I114" s="117">
        <f t="shared" si="5"/>
        <v>550000</v>
      </c>
    </row>
    <row r="115" spans="1:9">
      <c r="A115" s="119">
        <v>36</v>
      </c>
      <c r="B115" s="119">
        <v>9</v>
      </c>
      <c r="C115" s="122" t="s">
        <v>99</v>
      </c>
      <c r="D115" s="106">
        <v>887450</v>
      </c>
      <c r="E115" s="248">
        <v>303000</v>
      </c>
      <c r="F115" s="117">
        <f t="shared" si="4"/>
        <v>1190450</v>
      </c>
      <c r="G115" s="106">
        <v>887450</v>
      </c>
      <c r="H115" s="106">
        <v>303000</v>
      </c>
      <c r="I115" s="117">
        <f t="shared" si="5"/>
        <v>1190450</v>
      </c>
    </row>
    <row r="116" spans="1:9">
      <c r="A116" s="108" t="s">
        <v>101</v>
      </c>
      <c r="B116" s="109"/>
      <c r="C116" s="123"/>
      <c r="D116" s="110">
        <f>SUM(D107:D115)</f>
        <v>4331950</v>
      </c>
      <c r="E116" s="110">
        <f>SUM(E107:E115)</f>
        <v>1611500</v>
      </c>
      <c r="F116" s="110">
        <f>SUM(D116:E116)</f>
        <v>5943450</v>
      </c>
      <c r="G116" s="110">
        <f>SUM(G107:G115)</f>
        <v>3182050</v>
      </c>
      <c r="H116" s="110">
        <f>SUM(H107:H115)</f>
        <v>1491500</v>
      </c>
      <c r="I116" s="110">
        <f>SUM(G116:H116)</f>
        <v>4673550</v>
      </c>
    </row>
    <row r="117" spans="1:9">
      <c r="A117" s="108" t="s">
        <v>102</v>
      </c>
      <c r="B117" s="109"/>
      <c r="C117" s="109"/>
      <c r="D117" s="109"/>
      <c r="E117" s="109"/>
      <c r="F117" s="109"/>
      <c r="G117" s="109"/>
      <c r="H117" s="109"/>
      <c r="I117" s="113"/>
    </row>
    <row r="118" spans="1:9">
      <c r="A118" s="119">
        <v>37</v>
      </c>
      <c r="B118" s="119">
        <v>1</v>
      </c>
      <c r="C118" s="116" t="s">
        <v>103</v>
      </c>
      <c r="D118" s="106">
        <v>100000</v>
      </c>
      <c r="E118" s="248">
        <v>55000</v>
      </c>
      <c r="F118" s="117">
        <f>SUM(D118:E118)</f>
        <v>155000</v>
      </c>
      <c r="G118" s="106">
        <v>100000</v>
      </c>
      <c r="H118" s="106">
        <v>55000</v>
      </c>
      <c r="I118" s="117">
        <f>SUM(G118:H118)</f>
        <v>155000</v>
      </c>
    </row>
    <row r="119" spans="1:9">
      <c r="A119" s="119">
        <v>38</v>
      </c>
      <c r="B119" s="119">
        <v>2</v>
      </c>
      <c r="C119" s="116" t="s">
        <v>104</v>
      </c>
      <c r="D119" s="106">
        <f>0</f>
        <v>0</v>
      </c>
      <c r="E119" s="248">
        <f>0</f>
        <v>0</v>
      </c>
      <c r="F119" s="117">
        <f>SUM(D119:E119)</f>
        <v>0</v>
      </c>
      <c r="G119" s="106"/>
      <c r="H119" s="106"/>
      <c r="I119" s="117">
        <f>SUM(G119:H119)</f>
        <v>0</v>
      </c>
    </row>
    <row r="120" spans="1:9">
      <c r="A120" s="119">
        <v>39</v>
      </c>
      <c r="B120" s="119">
        <v>3</v>
      </c>
      <c r="C120" s="116" t="s">
        <v>105</v>
      </c>
      <c r="D120" s="106">
        <v>1378300</v>
      </c>
      <c r="E120" s="248"/>
      <c r="F120" s="117">
        <f>SUM(D120:E120)</f>
        <v>1378300</v>
      </c>
      <c r="G120" s="106">
        <v>1378000</v>
      </c>
      <c r="H120" s="106"/>
      <c r="I120" s="117">
        <f>SUM(G120:H120)</f>
        <v>1378000</v>
      </c>
    </row>
    <row r="121" spans="1:9">
      <c r="A121" s="119">
        <v>40</v>
      </c>
      <c r="B121" s="119">
        <v>5</v>
      </c>
      <c r="C121" s="116" t="s">
        <v>106</v>
      </c>
      <c r="D121" s="106">
        <v>382700</v>
      </c>
      <c r="E121" s="248">
        <v>100000</v>
      </c>
      <c r="F121" s="117">
        <f>SUM(D121:E121)</f>
        <v>482700</v>
      </c>
      <c r="G121" s="106">
        <v>382700</v>
      </c>
      <c r="H121" s="106">
        <v>100000</v>
      </c>
      <c r="I121" s="117">
        <f>SUM(G121:H121)</f>
        <v>482700</v>
      </c>
    </row>
    <row r="122" spans="1:9">
      <c r="A122" s="108" t="s">
        <v>58</v>
      </c>
      <c r="B122" s="109"/>
      <c r="C122" s="109"/>
      <c r="D122" s="110">
        <f>SUM(D118:D121)</f>
        <v>1861000</v>
      </c>
      <c r="E122" s="110">
        <f>SUM(E118:E121)</f>
        <v>155000</v>
      </c>
      <c r="F122" s="110">
        <f>SUM(D122:E122)</f>
        <v>2016000</v>
      </c>
      <c r="G122" s="110">
        <f>SUM(G118:G121)</f>
        <v>1860700</v>
      </c>
      <c r="H122" s="110">
        <f>SUM(H118:H121)</f>
        <v>155000</v>
      </c>
      <c r="I122" s="110">
        <f>SUM(G122:H122)</f>
        <v>2015700</v>
      </c>
    </row>
    <row r="123" spans="1:9">
      <c r="A123" s="108" t="s">
        <v>107</v>
      </c>
      <c r="B123" s="109"/>
      <c r="C123" s="109"/>
      <c r="D123" s="109"/>
      <c r="E123" s="109"/>
      <c r="F123" s="109"/>
      <c r="G123" s="109"/>
      <c r="H123" s="109"/>
      <c r="I123" s="113"/>
    </row>
    <row r="124" spans="1:9">
      <c r="A124" s="119">
        <v>41</v>
      </c>
      <c r="B124" s="119">
        <v>1</v>
      </c>
      <c r="C124" s="119" t="s">
        <v>108</v>
      </c>
      <c r="D124" s="106">
        <v>500000</v>
      </c>
      <c r="E124" s="248">
        <v>100000</v>
      </c>
      <c r="F124" s="117">
        <f>SUM(D124:E124)</f>
        <v>600000</v>
      </c>
      <c r="G124" s="106">
        <v>500000</v>
      </c>
      <c r="H124" s="106">
        <v>100000</v>
      </c>
      <c r="I124" s="117">
        <f>SUM(G124:H124)</f>
        <v>600000</v>
      </c>
    </row>
    <row r="125" spans="1:9">
      <c r="A125" s="108" t="s">
        <v>101</v>
      </c>
      <c r="B125" s="109"/>
      <c r="C125" s="109"/>
      <c r="D125" s="110">
        <f>D124</f>
        <v>500000</v>
      </c>
      <c r="E125" s="110">
        <f>E124</f>
        <v>100000</v>
      </c>
      <c r="F125" s="110">
        <f>SUM(D125:E125)</f>
        <v>600000</v>
      </c>
      <c r="G125" s="110">
        <f>G124</f>
        <v>500000</v>
      </c>
      <c r="H125" s="110">
        <f>H124</f>
        <v>100000</v>
      </c>
      <c r="I125" s="110">
        <f>SUM(G125:H125)</f>
        <v>600000</v>
      </c>
    </row>
    <row r="126" spans="1:9">
      <c r="A126" s="108" t="s">
        <v>109</v>
      </c>
      <c r="B126" s="109"/>
      <c r="C126" s="109"/>
      <c r="D126" s="109"/>
      <c r="E126" s="109"/>
      <c r="F126" s="109"/>
      <c r="G126" s="109"/>
      <c r="H126" s="109"/>
      <c r="I126" s="113"/>
    </row>
    <row r="127" spans="1:9">
      <c r="A127" s="119">
        <v>42</v>
      </c>
      <c r="B127" s="119">
        <v>1</v>
      </c>
      <c r="C127" s="121" t="s">
        <v>110</v>
      </c>
      <c r="D127" s="106">
        <v>1724427</v>
      </c>
      <c r="E127" s="106">
        <v>510650</v>
      </c>
      <c r="F127" s="117">
        <f>SUM(D127:E127)</f>
        <v>2235077</v>
      </c>
      <c r="G127" s="106">
        <v>1729999</v>
      </c>
      <c r="H127" s="106">
        <v>510650</v>
      </c>
      <c r="I127" s="117">
        <f>SUM(G127:H127)</f>
        <v>2240649</v>
      </c>
    </row>
    <row r="128" spans="1:9">
      <c r="A128" s="108" t="s">
        <v>101</v>
      </c>
      <c r="B128" s="109"/>
      <c r="C128" s="109"/>
      <c r="D128" s="110">
        <f>D127</f>
        <v>1724427</v>
      </c>
      <c r="E128" s="110">
        <f>E127</f>
        <v>510650</v>
      </c>
      <c r="F128" s="110">
        <f>SUM(D128:E128)</f>
        <v>2235077</v>
      </c>
      <c r="G128" s="110">
        <f>G127</f>
        <v>1729999</v>
      </c>
      <c r="H128" s="110">
        <f>H127</f>
        <v>510650</v>
      </c>
      <c r="I128" s="110">
        <f>SUM(G128:H128)</f>
        <v>2240649</v>
      </c>
    </row>
    <row r="129" spans="1:9">
      <c r="A129" s="108" t="s">
        <v>111</v>
      </c>
      <c r="B129" s="109"/>
      <c r="C129" s="109"/>
      <c r="D129" s="109"/>
      <c r="E129" s="109"/>
      <c r="F129" s="109"/>
      <c r="G129" s="109"/>
      <c r="H129" s="109"/>
      <c r="I129" s="113"/>
    </row>
    <row r="130" spans="1:9">
      <c r="A130" s="119">
        <v>43</v>
      </c>
      <c r="B130" s="119">
        <v>1</v>
      </c>
      <c r="C130" s="121" t="s">
        <v>112</v>
      </c>
      <c r="D130" s="106">
        <v>1644500</v>
      </c>
      <c r="E130" s="248">
        <v>649500</v>
      </c>
      <c r="F130" s="117">
        <f>SUM(D130:E130)</f>
        <v>2294000</v>
      </c>
      <c r="G130" s="106">
        <v>1568500</v>
      </c>
      <c r="H130" s="106">
        <v>649500</v>
      </c>
      <c r="I130" s="117">
        <f>SUM(G130:H130)</f>
        <v>2218000</v>
      </c>
    </row>
    <row r="131" spans="1:9">
      <c r="A131" s="119">
        <v>44</v>
      </c>
      <c r="B131" s="119">
        <v>2</v>
      </c>
      <c r="C131" s="121" t="s">
        <v>113</v>
      </c>
      <c r="D131" s="106"/>
      <c r="E131" s="248">
        <v>330000</v>
      </c>
      <c r="F131" s="117">
        <f t="shared" ref="F131:F142" si="6">SUM(D131:E131)</f>
        <v>330000</v>
      </c>
      <c r="G131" s="106"/>
      <c r="H131" s="106">
        <v>330000</v>
      </c>
      <c r="I131" s="117">
        <f t="shared" ref="I131:I149" si="7">SUM(G131:H131)</f>
        <v>330000</v>
      </c>
    </row>
    <row r="132" spans="1:9">
      <c r="A132" s="119">
        <v>45</v>
      </c>
      <c r="B132" s="119">
        <v>3</v>
      </c>
      <c r="C132" s="125" t="s">
        <v>114</v>
      </c>
      <c r="D132" s="106">
        <v>1643000</v>
      </c>
      <c r="E132" s="248"/>
      <c r="F132" s="117">
        <f t="shared" si="6"/>
        <v>1643000</v>
      </c>
      <c r="G132" s="106">
        <v>1643000</v>
      </c>
      <c r="H132" s="106"/>
      <c r="I132" s="117">
        <f t="shared" si="7"/>
        <v>1643000</v>
      </c>
    </row>
    <row r="133" spans="1:9">
      <c r="A133" s="119">
        <v>46</v>
      </c>
      <c r="B133" s="124">
        <v>4</v>
      </c>
      <c r="C133" s="125" t="s">
        <v>115</v>
      </c>
      <c r="D133" s="106">
        <f>0</f>
        <v>0</v>
      </c>
      <c r="E133" s="248">
        <v>448000</v>
      </c>
      <c r="F133" s="117">
        <f t="shared" si="6"/>
        <v>448000</v>
      </c>
      <c r="G133" s="106"/>
      <c r="H133" s="106">
        <v>224000</v>
      </c>
      <c r="I133" s="117">
        <f t="shared" si="7"/>
        <v>224000</v>
      </c>
    </row>
    <row r="134" spans="1:9">
      <c r="A134" s="119">
        <v>47</v>
      </c>
      <c r="B134" s="119">
        <v>5</v>
      </c>
      <c r="C134" s="125" t="s">
        <v>116</v>
      </c>
      <c r="D134" s="106">
        <v>505700</v>
      </c>
      <c r="E134" s="248">
        <v>136000</v>
      </c>
      <c r="F134" s="117">
        <f t="shared" si="6"/>
        <v>641700</v>
      </c>
      <c r="G134" s="106">
        <v>505700</v>
      </c>
      <c r="H134" s="106">
        <v>136000</v>
      </c>
      <c r="I134" s="117">
        <f t="shared" si="7"/>
        <v>641700</v>
      </c>
    </row>
    <row r="135" spans="1:9">
      <c r="A135" s="119">
        <v>48</v>
      </c>
      <c r="B135" s="119">
        <v>6</v>
      </c>
      <c r="C135" s="125" t="s">
        <v>117</v>
      </c>
      <c r="D135" s="106">
        <v>671502</v>
      </c>
      <c r="E135" s="248">
        <v>230000</v>
      </c>
      <c r="F135" s="117">
        <f t="shared" si="6"/>
        <v>901502</v>
      </c>
      <c r="G135" s="106">
        <v>671502</v>
      </c>
      <c r="H135" s="106">
        <v>130000</v>
      </c>
      <c r="I135" s="117">
        <f t="shared" si="7"/>
        <v>801502</v>
      </c>
    </row>
    <row r="136" spans="1:9">
      <c r="A136" s="119">
        <v>49</v>
      </c>
      <c r="B136" s="119">
        <v>7</v>
      </c>
      <c r="C136" s="125" t="s">
        <v>118</v>
      </c>
      <c r="D136" s="106">
        <v>724000</v>
      </c>
      <c r="E136" s="248">
        <v>150000</v>
      </c>
      <c r="F136" s="117">
        <f t="shared" si="6"/>
        <v>874000</v>
      </c>
      <c r="G136" s="106">
        <v>724000</v>
      </c>
      <c r="H136" s="106">
        <v>150000</v>
      </c>
      <c r="I136" s="117">
        <f t="shared" si="7"/>
        <v>874000</v>
      </c>
    </row>
    <row r="137" spans="1:9">
      <c r="A137" s="119">
        <v>50</v>
      </c>
      <c r="B137" s="119">
        <v>8</v>
      </c>
      <c r="C137" s="121" t="s">
        <v>119</v>
      </c>
      <c r="D137" s="106">
        <v>615000</v>
      </c>
      <c r="E137" s="248">
        <v>100000</v>
      </c>
      <c r="F137" s="117">
        <f t="shared" si="6"/>
        <v>715000</v>
      </c>
      <c r="G137" s="106">
        <v>615000</v>
      </c>
      <c r="H137" s="106">
        <v>100000</v>
      </c>
      <c r="I137" s="117">
        <f t="shared" si="7"/>
        <v>715000</v>
      </c>
    </row>
    <row r="138" spans="1:9">
      <c r="A138" s="119">
        <v>51</v>
      </c>
      <c r="B138" s="119">
        <v>9</v>
      </c>
      <c r="C138" s="121" t="s">
        <v>120</v>
      </c>
      <c r="D138" s="106">
        <v>554000</v>
      </c>
      <c r="E138" s="248">
        <v>220000</v>
      </c>
      <c r="F138" s="117">
        <f t="shared" si="6"/>
        <v>774000</v>
      </c>
      <c r="G138" s="106">
        <v>554000</v>
      </c>
      <c r="H138" s="106">
        <v>220000</v>
      </c>
      <c r="I138" s="117">
        <f t="shared" si="7"/>
        <v>774000</v>
      </c>
    </row>
    <row r="139" spans="1:9">
      <c r="A139" s="119">
        <v>52</v>
      </c>
      <c r="B139" s="119">
        <v>10</v>
      </c>
      <c r="C139" s="121" t="s">
        <v>121</v>
      </c>
      <c r="D139" s="106"/>
      <c r="E139" s="248">
        <v>578335</v>
      </c>
      <c r="F139" s="117">
        <f t="shared" si="6"/>
        <v>578335</v>
      </c>
      <c r="G139" s="106"/>
      <c r="H139" s="106">
        <v>578335</v>
      </c>
      <c r="I139" s="117">
        <f t="shared" si="7"/>
        <v>578335</v>
      </c>
    </row>
    <row r="140" spans="1:9">
      <c r="A140" s="119">
        <v>53</v>
      </c>
      <c r="B140" s="119">
        <v>11</v>
      </c>
      <c r="C140" s="121" t="s">
        <v>122</v>
      </c>
      <c r="D140" s="106">
        <v>1453000</v>
      </c>
      <c r="E140" s="248">
        <f>0</f>
        <v>0</v>
      </c>
      <c r="F140" s="117">
        <f t="shared" si="6"/>
        <v>1453000</v>
      </c>
      <c r="G140" s="106">
        <v>1460000</v>
      </c>
      <c r="I140" s="117">
        <f>SUM(G140:G140)</f>
        <v>1460000</v>
      </c>
    </row>
    <row r="141" spans="1:9">
      <c r="A141" s="119">
        <v>54</v>
      </c>
      <c r="B141" s="119">
        <v>12</v>
      </c>
      <c r="C141" s="121" t="s">
        <v>123</v>
      </c>
      <c r="D141" s="106">
        <v>1665000</v>
      </c>
      <c r="E141" s="248"/>
      <c r="F141" s="117">
        <f t="shared" si="6"/>
        <v>1665000</v>
      </c>
      <c r="G141" s="106">
        <v>1664300</v>
      </c>
      <c r="H141" s="106"/>
      <c r="I141" s="117">
        <f t="shared" si="7"/>
        <v>1664300</v>
      </c>
    </row>
    <row r="142" spans="1:9">
      <c r="A142" s="119">
        <v>55</v>
      </c>
      <c r="B142" s="119">
        <v>13</v>
      </c>
      <c r="C142" s="121" t="s">
        <v>124</v>
      </c>
      <c r="D142" s="106">
        <v>677000</v>
      </c>
      <c r="E142" s="248">
        <v>200000</v>
      </c>
      <c r="F142" s="117">
        <f t="shared" si="6"/>
        <v>877000</v>
      </c>
      <c r="G142" s="106"/>
      <c r="H142" s="106"/>
      <c r="I142" s="117">
        <f t="shared" si="7"/>
        <v>0</v>
      </c>
    </row>
    <row r="143" spans="1:9">
      <c r="A143" s="119">
        <v>56</v>
      </c>
      <c r="B143" s="119">
        <v>14</v>
      </c>
      <c r="C143" s="121" t="s">
        <v>125</v>
      </c>
      <c r="D143" s="106">
        <v>229000</v>
      </c>
      <c r="E143" s="248">
        <v>140000</v>
      </c>
      <c r="F143" s="117">
        <f>SUM(D143:E143)</f>
        <v>369000</v>
      </c>
      <c r="G143" s="106">
        <v>229000</v>
      </c>
      <c r="H143" s="106">
        <v>140000</v>
      </c>
      <c r="I143" s="117">
        <f>SUM(G143:H143)</f>
        <v>369000</v>
      </c>
    </row>
    <row r="144" spans="1:9">
      <c r="A144" s="119">
        <v>57</v>
      </c>
      <c r="B144" s="119">
        <v>15</v>
      </c>
      <c r="C144" s="121" t="s">
        <v>126</v>
      </c>
      <c r="D144" s="106">
        <v>1250000</v>
      </c>
      <c r="E144" s="248">
        <v>250000</v>
      </c>
      <c r="F144" s="117">
        <f t="shared" ref="F144:F149" si="8">SUM(D144:E144)</f>
        <v>1500000</v>
      </c>
      <c r="G144" s="106">
        <v>1250000</v>
      </c>
      <c r="H144" s="106">
        <v>250000</v>
      </c>
      <c r="I144" s="117">
        <f t="shared" si="7"/>
        <v>1500000</v>
      </c>
    </row>
    <row r="145" spans="1:9">
      <c r="A145" s="119">
        <v>58</v>
      </c>
      <c r="B145" s="119">
        <v>16</v>
      </c>
      <c r="C145" s="121" t="s">
        <v>127</v>
      </c>
      <c r="D145" s="106">
        <v>1116000</v>
      </c>
      <c r="E145" s="248">
        <f>0</f>
        <v>0</v>
      </c>
      <c r="F145" s="117">
        <f t="shared" si="8"/>
        <v>1116000</v>
      </c>
      <c r="G145" s="106">
        <v>1000000</v>
      </c>
      <c r="H145" s="106"/>
      <c r="I145" s="117">
        <f t="shared" si="7"/>
        <v>1000000</v>
      </c>
    </row>
    <row r="146" spans="1:9">
      <c r="A146" s="119">
        <v>59</v>
      </c>
      <c r="B146" s="119">
        <v>17</v>
      </c>
      <c r="C146" s="121" t="s">
        <v>128</v>
      </c>
      <c r="D146" s="106"/>
      <c r="E146" s="248">
        <f>0</f>
        <v>0</v>
      </c>
      <c r="F146" s="117">
        <f t="shared" si="8"/>
        <v>0</v>
      </c>
      <c r="G146" s="106">
        <v>1424000</v>
      </c>
      <c r="H146" s="106"/>
      <c r="I146" s="117">
        <f t="shared" si="7"/>
        <v>1424000</v>
      </c>
    </row>
    <row r="147" spans="1:9">
      <c r="A147" s="119">
        <v>60</v>
      </c>
      <c r="B147" s="119">
        <v>18</v>
      </c>
      <c r="C147" s="121" t="s">
        <v>129</v>
      </c>
      <c r="D147" s="106">
        <v>1149000</v>
      </c>
      <c r="E147" s="248">
        <v>120000</v>
      </c>
      <c r="F147" s="117">
        <f t="shared" si="8"/>
        <v>1269000</v>
      </c>
      <c r="G147" s="106">
        <v>1149000</v>
      </c>
      <c r="H147" s="106">
        <v>120000</v>
      </c>
      <c r="I147" s="117">
        <f t="shared" si="7"/>
        <v>1269000</v>
      </c>
    </row>
    <row r="148" spans="1:9">
      <c r="A148" s="119">
        <v>61</v>
      </c>
      <c r="B148" s="119">
        <v>19</v>
      </c>
      <c r="C148" s="121" t="s">
        <v>130</v>
      </c>
      <c r="D148" s="106">
        <v>260618</v>
      </c>
      <c r="E148" s="248">
        <v>250000</v>
      </c>
      <c r="F148" s="117">
        <f t="shared" si="8"/>
        <v>510618</v>
      </c>
      <c r="G148" s="106">
        <v>260618</v>
      </c>
      <c r="H148" s="106">
        <v>250000</v>
      </c>
      <c r="I148" s="117">
        <f t="shared" si="7"/>
        <v>510618</v>
      </c>
    </row>
    <row r="149" spans="1:9">
      <c r="A149" s="119">
        <v>62</v>
      </c>
      <c r="B149" s="119">
        <v>20</v>
      </c>
      <c r="C149" s="121" t="s">
        <v>131</v>
      </c>
      <c r="D149" s="106">
        <f>739873+739873</f>
        <v>1479746</v>
      </c>
      <c r="E149" s="248">
        <f>190000+190000</f>
        <v>380000</v>
      </c>
      <c r="F149" s="117">
        <f t="shared" si="8"/>
        <v>1859746</v>
      </c>
      <c r="G149" s="106"/>
      <c r="H149" s="106"/>
      <c r="I149" s="117">
        <f t="shared" si="7"/>
        <v>0</v>
      </c>
    </row>
    <row r="150" spans="1:9">
      <c r="A150" s="108" t="s">
        <v>58</v>
      </c>
      <c r="B150" s="109"/>
      <c r="C150" s="109"/>
      <c r="D150" s="110">
        <f>SUM(D130:D149)</f>
        <v>15637066</v>
      </c>
      <c r="E150" s="110">
        <f>SUM(E130:E149)</f>
        <v>4181835</v>
      </c>
      <c r="F150" s="110">
        <f>SUM(D150:E150)</f>
        <v>19818901</v>
      </c>
      <c r="G150" s="110">
        <f>SUM(G130:G149)</f>
        <v>14718620</v>
      </c>
      <c r="H150" s="110">
        <f>SUM(H130:H149)</f>
        <v>3277835</v>
      </c>
      <c r="I150" s="110">
        <f>SUM(G150:H150)</f>
        <v>17996455</v>
      </c>
    </row>
    <row r="151" spans="1:9">
      <c r="A151" s="126" t="s">
        <v>132</v>
      </c>
      <c r="B151" s="127"/>
      <c r="C151" s="127"/>
      <c r="D151" s="127"/>
      <c r="E151" s="127"/>
      <c r="F151" s="127"/>
      <c r="G151" s="127"/>
      <c r="H151" s="127"/>
      <c r="I151" s="128"/>
    </row>
    <row r="152" spans="1:9">
      <c r="A152" s="119">
        <v>63</v>
      </c>
      <c r="B152" s="119">
        <v>1</v>
      </c>
      <c r="C152" s="125" t="s">
        <v>133</v>
      </c>
      <c r="D152" s="106">
        <v>1501595</v>
      </c>
      <c r="E152" s="248">
        <v>910800</v>
      </c>
      <c r="F152" s="117">
        <f>SUM(D152:E152)</f>
        <v>2412395</v>
      </c>
      <c r="G152" s="106">
        <v>1501595</v>
      </c>
      <c r="H152" s="106">
        <v>905800</v>
      </c>
      <c r="I152" s="117">
        <f>SUM(G152:H152)</f>
        <v>2407395</v>
      </c>
    </row>
    <row r="153" spans="1:9">
      <c r="A153" s="119">
        <v>64</v>
      </c>
      <c r="B153" s="119">
        <v>2</v>
      </c>
      <c r="C153" s="125" t="s">
        <v>134</v>
      </c>
      <c r="D153" s="106">
        <v>262000</v>
      </c>
      <c r="E153" s="248">
        <v>286000</v>
      </c>
      <c r="F153" s="117">
        <f t="shared" ref="F153:F171" si="9">SUM(D153:E153)</f>
        <v>548000</v>
      </c>
      <c r="G153" s="106">
        <v>258500</v>
      </c>
      <c r="H153" s="106">
        <v>263000</v>
      </c>
      <c r="I153" s="117">
        <f>SUM(G153:H153)</f>
        <v>521500</v>
      </c>
    </row>
    <row r="154" spans="1:9">
      <c r="A154" s="119">
        <v>65</v>
      </c>
      <c r="B154" s="119">
        <v>3</v>
      </c>
      <c r="C154" s="125" t="s">
        <v>135</v>
      </c>
      <c r="D154" s="106">
        <v>1425700</v>
      </c>
      <c r="E154" s="248">
        <v>1247500</v>
      </c>
      <c r="F154" s="117">
        <f t="shared" si="9"/>
        <v>2673200</v>
      </c>
      <c r="G154" s="106"/>
      <c r="H154" s="106"/>
      <c r="I154" s="117">
        <f t="shared" ref="I154:I171" si="10">SUM(G154:H154)</f>
        <v>0</v>
      </c>
    </row>
    <row r="155" spans="1:9">
      <c r="A155" s="119">
        <v>66</v>
      </c>
      <c r="B155" s="119">
        <v>4</v>
      </c>
      <c r="C155" s="125" t="s">
        <v>136</v>
      </c>
      <c r="D155" s="106"/>
      <c r="E155" s="248">
        <v>300000</v>
      </c>
      <c r="F155" s="117">
        <f t="shared" si="9"/>
        <v>300000</v>
      </c>
      <c r="G155" s="106"/>
      <c r="H155" s="106">
        <v>300000</v>
      </c>
      <c r="I155" s="117">
        <f t="shared" si="10"/>
        <v>300000</v>
      </c>
    </row>
    <row r="156" spans="1:9">
      <c r="A156" s="119">
        <v>67</v>
      </c>
      <c r="B156" s="119">
        <v>5</v>
      </c>
      <c r="C156" s="129" t="s">
        <v>137</v>
      </c>
      <c r="D156" s="106">
        <f>0</f>
        <v>0</v>
      </c>
      <c r="E156" s="248">
        <f>0</f>
        <v>0</v>
      </c>
      <c r="F156" s="117">
        <f t="shared" si="9"/>
        <v>0</v>
      </c>
      <c r="G156" s="106"/>
      <c r="H156" s="106"/>
      <c r="I156" s="117">
        <f t="shared" si="10"/>
        <v>0</v>
      </c>
    </row>
    <row r="157" spans="1:9">
      <c r="A157" s="119">
        <v>68</v>
      </c>
      <c r="B157" s="119">
        <v>6</v>
      </c>
      <c r="C157" s="125" t="s">
        <v>138</v>
      </c>
      <c r="D157" s="106">
        <v>794000</v>
      </c>
      <c r="E157" s="248">
        <v>1378500</v>
      </c>
      <c r="F157" s="117">
        <f t="shared" si="9"/>
        <v>2172500</v>
      </c>
      <c r="G157" s="106">
        <v>794000</v>
      </c>
      <c r="H157" s="106">
        <v>1376500</v>
      </c>
      <c r="I157" s="117">
        <f t="shared" si="10"/>
        <v>2170500</v>
      </c>
    </row>
    <row r="158" spans="1:9">
      <c r="A158" s="119">
        <v>69</v>
      </c>
      <c r="B158" s="119">
        <v>7</v>
      </c>
      <c r="C158" s="125" t="s">
        <v>139</v>
      </c>
      <c r="D158" s="106">
        <v>342000</v>
      </c>
      <c r="E158" s="248">
        <v>450000</v>
      </c>
      <c r="F158" s="117">
        <f t="shared" si="9"/>
        <v>792000</v>
      </c>
      <c r="G158" s="106">
        <v>337000</v>
      </c>
      <c r="H158" s="106">
        <v>450000</v>
      </c>
      <c r="I158" s="117">
        <f t="shared" si="10"/>
        <v>787000</v>
      </c>
    </row>
    <row r="159" spans="1:9">
      <c r="A159" s="119">
        <v>70</v>
      </c>
      <c r="B159" s="119">
        <v>8</v>
      </c>
      <c r="C159" s="125" t="s">
        <v>140</v>
      </c>
      <c r="D159" s="106">
        <v>561700</v>
      </c>
      <c r="E159" s="248">
        <v>939000</v>
      </c>
      <c r="F159" s="117">
        <f t="shared" si="9"/>
        <v>1500700</v>
      </c>
      <c r="G159" s="106">
        <v>561700</v>
      </c>
      <c r="H159" s="106">
        <v>939000</v>
      </c>
      <c r="I159" s="117">
        <f t="shared" si="10"/>
        <v>1500700</v>
      </c>
    </row>
    <row r="160" spans="1:9">
      <c r="A160" s="119">
        <v>71</v>
      </c>
      <c r="B160" s="119">
        <v>9</v>
      </c>
      <c r="C160" s="125" t="s">
        <v>141</v>
      </c>
      <c r="D160" s="106">
        <v>334000</v>
      </c>
      <c r="E160" s="248">
        <v>500000</v>
      </c>
      <c r="F160" s="117">
        <f t="shared" si="9"/>
        <v>834000</v>
      </c>
      <c r="G160" s="106">
        <v>351000</v>
      </c>
      <c r="H160" s="106">
        <v>495000</v>
      </c>
      <c r="I160" s="117">
        <f t="shared" si="10"/>
        <v>846000</v>
      </c>
    </row>
    <row r="161" spans="1:9">
      <c r="A161" s="119">
        <v>72</v>
      </c>
      <c r="B161" s="119">
        <v>10</v>
      </c>
      <c r="C161" s="125" t="s">
        <v>142</v>
      </c>
      <c r="D161" s="106">
        <v>357100</v>
      </c>
      <c r="E161" s="248">
        <v>74000</v>
      </c>
      <c r="F161" s="117">
        <f t="shared" si="9"/>
        <v>431100</v>
      </c>
      <c r="G161" s="106">
        <v>357100</v>
      </c>
      <c r="H161" s="106">
        <v>74000</v>
      </c>
      <c r="I161" s="117">
        <f t="shared" si="10"/>
        <v>431100</v>
      </c>
    </row>
    <row r="162" spans="1:9">
      <c r="A162" s="119">
        <v>73</v>
      </c>
      <c r="B162" s="119">
        <v>11</v>
      </c>
      <c r="C162" s="125" t="s">
        <v>143</v>
      </c>
      <c r="D162" s="106">
        <v>200000</v>
      </c>
      <c r="E162" s="248">
        <v>600000</v>
      </c>
      <c r="F162" s="117">
        <f t="shared" si="9"/>
        <v>800000</v>
      </c>
      <c r="G162" s="106">
        <v>630000</v>
      </c>
      <c r="H162" s="106">
        <v>200000</v>
      </c>
      <c r="I162" s="117">
        <f t="shared" si="10"/>
        <v>830000</v>
      </c>
    </row>
    <row r="163" spans="1:9">
      <c r="A163" s="119">
        <v>74</v>
      </c>
      <c r="B163" s="119">
        <v>12</v>
      </c>
      <c r="C163" s="125" t="s">
        <v>144</v>
      </c>
      <c r="D163" s="106">
        <v>185000</v>
      </c>
      <c r="E163" s="248">
        <v>819000</v>
      </c>
      <c r="F163" s="117">
        <f t="shared" si="9"/>
        <v>1004000</v>
      </c>
      <c r="G163" s="106">
        <v>185000</v>
      </c>
      <c r="H163" s="106">
        <v>819000</v>
      </c>
      <c r="I163" s="117">
        <f t="shared" si="10"/>
        <v>1004000</v>
      </c>
    </row>
    <row r="164" spans="1:9">
      <c r="A164" s="119">
        <v>75</v>
      </c>
      <c r="B164" s="119">
        <v>13</v>
      </c>
      <c r="C164" s="125" t="s">
        <v>145</v>
      </c>
      <c r="D164" s="219">
        <f>0</f>
        <v>0</v>
      </c>
      <c r="E164" s="250">
        <v>500000</v>
      </c>
      <c r="F164" s="117">
        <f t="shared" si="9"/>
        <v>500000</v>
      </c>
      <c r="G164" s="219"/>
      <c r="H164" s="219">
        <v>500000</v>
      </c>
      <c r="I164" s="117">
        <f t="shared" si="10"/>
        <v>500000</v>
      </c>
    </row>
    <row r="165" spans="1:9">
      <c r="A165" s="119">
        <v>76</v>
      </c>
      <c r="B165" s="119">
        <v>14</v>
      </c>
      <c r="C165" s="129" t="s">
        <v>146</v>
      </c>
      <c r="D165" s="106"/>
      <c r="E165" s="248"/>
      <c r="F165" s="117">
        <f t="shared" si="9"/>
        <v>0</v>
      </c>
      <c r="G165" s="106"/>
      <c r="H165" s="106"/>
      <c r="I165" s="117">
        <f t="shared" si="10"/>
        <v>0</v>
      </c>
    </row>
    <row r="166" spans="1:9">
      <c r="A166" s="119">
        <v>77</v>
      </c>
      <c r="B166" s="119">
        <v>15</v>
      </c>
      <c r="C166" s="125" t="s">
        <v>147</v>
      </c>
      <c r="D166" s="106"/>
      <c r="E166" s="248">
        <v>1041000</v>
      </c>
      <c r="F166" s="117">
        <f t="shared" si="9"/>
        <v>1041000</v>
      </c>
      <c r="G166" s="106"/>
      <c r="H166" s="106">
        <v>1036000</v>
      </c>
      <c r="I166" s="117">
        <f t="shared" si="10"/>
        <v>1036000</v>
      </c>
    </row>
    <row r="167" spans="1:9">
      <c r="A167" s="119">
        <v>78</v>
      </c>
      <c r="B167" s="119">
        <v>16</v>
      </c>
      <c r="C167" s="125" t="s">
        <v>148</v>
      </c>
      <c r="D167" s="106"/>
      <c r="E167" s="248">
        <v>2289000</v>
      </c>
      <c r="F167" s="117">
        <f t="shared" si="9"/>
        <v>2289000</v>
      </c>
      <c r="G167" s="106"/>
      <c r="H167" s="106"/>
      <c r="I167" s="117">
        <f t="shared" si="10"/>
        <v>0</v>
      </c>
    </row>
    <row r="168" spans="1:9">
      <c r="A168" s="119">
        <v>79</v>
      </c>
      <c r="B168" s="119">
        <v>17</v>
      </c>
      <c r="C168" s="125" t="s">
        <v>149</v>
      </c>
      <c r="D168" s="106"/>
      <c r="E168" s="248">
        <v>763000</v>
      </c>
      <c r="F168" s="117">
        <f t="shared" si="9"/>
        <v>763000</v>
      </c>
      <c r="G168" s="106"/>
      <c r="H168" s="106">
        <v>763000</v>
      </c>
      <c r="I168" s="117">
        <f t="shared" si="10"/>
        <v>763000</v>
      </c>
    </row>
    <row r="169" spans="1:9">
      <c r="A169" s="119">
        <v>80</v>
      </c>
      <c r="B169" s="119">
        <v>18</v>
      </c>
      <c r="C169" s="121" t="s">
        <v>150</v>
      </c>
      <c r="D169" s="106"/>
      <c r="E169" s="248"/>
      <c r="F169" s="117">
        <f t="shared" si="9"/>
        <v>0</v>
      </c>
      <c r="G169" s="106">
        <v>229042</v>
      </c>
      <c r="H169" s="106">
        <v>2608380</v>
      </c>
      <c r="I169" s="117">
        <f t="shared" si="10"/>
        <v>2837422</v>
      </c>
    </row>
    <row r="170" spans="1:9">
      <c r="A170" s="119">
        <v>81</v>
      </c>
      <c r="B170" s="119">
        <v>19</v>
      </c>
      <c r="C170" s="121" t="s">
        <v>151</v>
      </c>
      <c r="D170" s="106">
        <v>849000</v>
      </c>
      <c r="E170" s="248">
        <v>125000</v>
      </c>
      <c r="F170" s="117">
        <f t="shared" si="9"/>
        <v>974000</v>
      </c>
      <c r="G170" s="106">
        <v>859100</v>
      </c>
      <c r="H170" s="106">
        <v>125000</v>
      </c>
      <c r="I170" s="117">
        <f t="shared" si="10"/>
        <v>984100</v>
      </c>
    </row>
    <row r="171" spans="1:9">
      <c r="A171" s="119">
        <v>82</v>
      </c>
      <c r="B171" s="119">
        <v>20</v>
      </c>
      <c r="C171" s="121" t="s">
        <v>152</v>
      </c>
      <c r="D171" s="106">
        <v>309000</v>
      </c>
      <c r="E171" s="248">
        <v>703000</v>
      </c>
      <c r="F171" s="117">
        <f t="shared" si="9"/>
        <v>1012000</v>
      </c>
      <c r="G171" s="106">
        <v>309000</v>
      </c>
      <c r="H171" s="106">
        <v>703000</v>
      </c>
      <c r="I171" s="117">
        <f t="shared" si="10"/>
        <v>1012000</v>
      </c>
    </row>
    <row r="172" spans="1:9">
      <c r="A172" s="108" t="s">
        <v>58</v>
      </c>
      <c r="B172" s="109"/>
      <c r="C172" s="109"/>
      <c r="D172" s="110">
        <f>SUM(D152:D171)</f>
        <v>7121095</v>
      </c>
      <c r="E172" s="110">
        <f>SUM(E152:E171)</f>
        <v>12925800</v>
      </c>
      <c r="F172" s="110">
        <f>SUM(D172:E172)</f>
        <v>20046895</v>
      </c>
      <c r="G172" s="110">
        <f>SUM(G152:G171)</f>
        <v>6373037</v>
      </c>
      <c r="H172" s="110">
        <f>SUM(H152:H171)</f>
        <v>11557680</v>
      </c>
      <c r="I172" s="110">
        <f>SUM(G172:H172)</f>
        <v>17930717</v>
      </c>
    </row>
    <row r="173" spans="1:9">
      <c r="A173" s="108" t="s">
        <v>153</v>
      </c>
      <c r="B173" s="109"/>
      <c r="C173" s="109"/>
      <c r="D173" s="109"/>
      <c r="E173" s="109"/>
      <c r="F173" s="109"/>
      <c r="G173" s="109"/>
      <c r="H173" s="109"/>
      <c r="I173" s="113"/>
    </row>
    <row r="174" spans="1:9">
      <c r="A174" s="119">
        <v>83</v>
      </c>
      <c r="B174" s="119">
        <v>1</v>
      </c>
      <c r="C174" s="121" t="s">
        <v>154</v>
      </c>
      <c r="D174" s="106">
        <v>1392225</v>
      </c>
      <c r="E174" s="248">
        <v>105500</v>
      </c>
      <c r="F174" s="117">
        <f>SUM(D174:E174)</f>
        <v>1497725</v>
      </c>
      <c r="G174" s="106">
        <v>1396708</v>
      </c>
      <c r="H174" s="106">
        <v>105500</v>
      </c>
      <c r="I174" s="117">
        <f>SUM(G174:H174)</f>
        <v>1502208</v>
      </c>
    </row>
    <row r="175" spans="1:9">
      <c r="A175" s="119">
        <v>84</v>
      </c>
      <c r="B175" s="119">
        <v>2</v>
      </c>
      <c r="C175" s="121" t="s">
        <v>155</v>
      </c>
      <c r="D175" s="106"/>
      <c r="E175" s="248"/>
      <c r="F175" s="117">
        <f t="shared" ref="F175:F193" si="11">SUM(D175:E175)</f>
        <v>0</v>
      </c>
      <c r="G175" s="106"/>
      <c r="H175" s="106">
        <v>30000</v>
      </c>
      <c r="I175" s="117">
        <f t="shared" ref="I175:I196" si="12">SUM(G175:H175)</f>
        <v>30000</v>
      </c>
    </row>
    <row r="176" spans="1:9">
      <c r="A176" s="119">
        <v>85</v>
      </c>
      <c r="B176" s="119">
        <v>3</v>
      </c>
      <c r="C176" s="121" t="s">
        <v>156</v>
      </c>
      <c r="D176" s="106"/>
      <c r="E176" s="248">
        <f>40000+265000</f>
        <v>305000</v>
      </c>
      <c r="F176" s="117">
        <f t="shared" si="11"/>
        <v>305000</v>
      </c>
      <c r="G176" s="106"/>
      <c r="H176" s="106">
        <f>265000+40000</f>
        <v>305000</v>
      </c>
      <c r="I176" s="117">
        <f t="shared" si="12"/>
        <v>305000</v>
      </c>
    </row>
    <row r="177" spans="1:9">
      <c r="A177" s="119">
        <v>86</v>
      </c>
      <c r="B177" s="119">
        <v>4</v>
      </c>
      <c r="C177" s="121" t="s">
        <v>157</v>
      </c>
      <c r="D177" s="106">
        <f>695000+390000</f>
        <v>1085000</v>
      </c>
      <c r="E177" s="248">
        <f>92000+80000</f>
        <v>172000</v>
      </c>
      <c r="F177" s="117">
        <f t="shared" si="11"/>
        <v>1257000</v>
      </c>
      <c r="G177" s="106">
        <v>290000</v>
      </c>
      <c r="H177" s="106">
        <v>60000</v>
      </c>
      <c r="I177" s="117">
        <f t="shared" si="12"/>
        <v>350000</v>
      </c>
    </row>
    <row r="178" spans="1:9">
      <c r="A178" s="119">
        <v>87</v>
      </c>
      <c r="B178" s="119">
        <v>5</v>
      </c>
      <c r="C178" s="121" t="s">
        <v>158</v>
      </c>
      <c r="D178" s="106"/>
      <c r="E178" s="106"/>
      <c r="F178" s="117">
        <f t="shared" si="11"/>
        <v>0</v>
      </c>
      <c r="G178" s="106"/>
      <c r="H178" s="106"/>
      <c r="I178" s="117">
        <f t="shared" si="12"/>
        <v>0</v>
      </c>
    </row>
    <row r="179" spans="1:9">
      <c r="A179" s="119">
        <v>88</v>
      </c>
      <c r="B179" s="119">
        <v>6</v>
      </c>
      <c r="C179" s="125" t="s">
        <v>159</v>
      </c>
      <c r="D179" s="106">
        <v>20000000</v>
      </c>
      <c r="E179" s="106"/>
      <c r="F179" s="117">
        <f t="shared" si="11"/>
        <v>20000000</v>
      </c>
      <c r="G179" s="106">
        <v>20000000</v>
      </c>
      <c r="H179" s="106"/>
      <c r="I179" s="117">
        <f t="shared" si="12"/>
        <v>20000000</v>
      </c>
    </row>
    <row r="180" spans="1:9">
      <c r="A180" s="119">
        <v>89</v>
      </c>
      <c r="B180" s="119">
        <v>7</v>
      </c>
      <c r="C180" s="121" t="s">
        <v>160</v>
      </c>
      <c r="D180" s="106"/>
      <c r="E180" s="106"/>
      <c r="F180" s="117">
        <f t="shared" si="11"/>
        <v>0</v>
      </c>
      <c r="G180" s="106"/>
      <c r="H180" s="106"/>
      <c r="I180" s="117">
        <f t="shared" si="12"/>
        <v>0</v>
      </c>
    </row>
    <row r="181" spans="1:9">
      <c r="A181" s="119">
        <v>90</v>
      </c>
      <c r="B181" s="119">
        <v>8</v>
      </c>
      <c r="C181" s="121" t="s">
        <v>161</v>
      </c>
      <c r="D181" s="106"/>
      <c r="E181" s="106"/>
      <c r="F181" s="117">
        <f t="shared" si="11"/>
        <v>0</v>
      </c>
      <c r="G181" s="106"/>
      <c r="H181" s="106"/>
      <c r="I181" s="117">
        <f t="shared" si="12"/>
        <v>0</v>
      </c>
    </row>
    <row r="182" spans="1:9">
      <c r="A182" s="119">
        <v>91</v>
      </c>
      <c r="B182" s="119">
        <v>9</v>
      </c>
      <c r="C182" s="121" t="s">
        <v>162</v>
      </c>
      <c r="D182" s="106"/>
      <c r="E182" s="106"/>
      <c r="F182" s="117">
        <f t="shared" si="11"/>
        <v>0</v>
      </c>
      <c r="G182" s="106"/>
      <c r="H182" s="106"/>
      <c r="I182" s="117">
        <f t="shared" si="12"/>
        <v>0</v>
      </c>
    </row>
    <row r="183" spans="1:9">
      <c r="A183" s="119">
        <v>92</v>
      </c>
      <c r="B183" s="119">
        <v>10</v>
      </c>
      <c r="C183" s="121" t="s">
        <v>163</v>
      </c>
      <c r="D183" s="106"/>
      <c r="E183" s="106"/>
      <c r="F183" s="117">
        <f t="shared" si="11"/>
        <v>0</v>
      </c>
      <c r="G183" s="106"/>
      <c r="H183" s="106"/>
      <c r="I183" s="117">
        <f t="shared" si="12"/>
        <v>0</v>
      </c>
    </row>
    <row r="184" spans="1:9">
      <c r="A184" s="119">
        <v>93</v>
      </c>
      <c r="B184" s="119">
        <v>11</v>
      </c>
      <c r="C184" s="121" t="s">
        <v>164</v>
      </c>
      <c r="D184" s="106">
        <v>9260654</v>
      </c>
      <c r="E184" s="106"/>
      <c r="F184" s="117">
        <f t="shared" si="11"/>
        <v>9260654</v>
      </c>
      <c r="G184" s="106">
        <v>9254135</v>
      </c>
      <c r="H184" s="106"/>
      <c r="I184" s="117">
        <f t="shared" si="12"/>
        <v>9254135</v>
      </c>
    </row>
    <row r="185" spans="1:9">
      <c r="A185" s="119">
        <v>94</v>
      </c>
      <c r="B185" s="119">
        <v>12</v>
      </c>
      <c r="C185" s="121" t="s">
        <v>165</v>
      </c>
      <c r="D185" s="106"/>
      <c r="E185" s="106"/>
      <c r="F185" s="117">
        <f t="shared" si="11"/>
        <v>0</v>
      </c>
      <c r="G185" s="106"/>
      <c r="H185" s="106"/>
      <c r="I185" s="117">
        <f t="shared" si="12"/>
        <v>0</v>
      </c>
    </row>
    <row r="186" spans="1:9">
      <c r="A186" s="119">
        <v>95</v>
      </c>
      <c r="B186" s="119">
        <v>13</v>
      </c>
      <c r="C186" s="121" t="s">
        <v>166</v>
      </c>
      <c r="D186" s="106"/>
      <c r="E186" s="106"/>
      <c r="F186" s="117">
        <f t="shared" si="11"/>
        <v>0</v>
      </c>
      <c r="G186" s="106"/>
      <c r="H186" s="106">
        <f>86000+86000</f>
        <v>172000</v>
      </c>
      <c r="I186" s="117">
        <f t="shared" si="12"/>
        <v>172000</v>
      </c>
    </row>
    <row r="187" spans="1:9">
      <c r="A187" s="119">
        <v>96</v>
      </c>
      <c r="B187" s="119">
        <v>14</v>
      </c>
      <c r="C187" s="121" t="s">
        <v>167</v>
      </c>
      <c r="D187" s="106"/>
      <c r="E187" s="106"/>
      <c r="F187" s="117">
        <f t="shared" si="11"/>
        <v>0</v>
      </c>
      <c r="G187" s="106"/>
      <c r="H187" s="106">
        <f>70500+70500</f>
        <v>141000</v>
      </c>
      <c r="I187" s="117">
        <f t="shared" si="12"/>
        <v>141000</v>
      </c>
    </row>
    <row r="188" spans="1:9">
      <c r="A188" s="119">
        <v>97</v>
      </c>
      <c r="B188" s="119">
        <v>15</v>
      </c>
      <c r="C188" s="121" t="s">
        <v>168</v>
      </c>
      <c r="D188" s="106">
        <v>467000</v>
      </c>
      <c r="E188" s="106">
        <v>398000</v>
      </c>
      <c r="F188" s="117">
        <f t="shared" si="11"/>
        <v>865000</v>
      </c>
      <c r="G188" s="106">
        <v>350000</v>
      </c>
      <c r="H188" s="106">
        <v>398000</v>
      </c>
      <c r="I188" s="117">
        <f t="shared" si="12"/>
        <v>748000</v>
      </c>
    </row>
    <row r="189" spans="1:9">
      <c r="A189" s="119">
        <v>98</v>
      </c>
      <c r="B189" s="119">
        <v>16</v>
      </c>
      <c r="C189" s="121" t="s">
        <v>428</v>
      </c>
      <c r="D189" s="106">
        <f>997100</f>
        <v>997100</v>
      </c>
      <c r="E189" s="106">
        <f>340000+403000</f>
        <v>743000</v>
      </c>
      <c r="F189" s="117">
        <f t="shared" si="11"/>
        <v>1740100</v>
      </c>
      <c r="G189" s="106">
        <v>997100</v>
      </c>
      <c r="H189" s="106">
        <f>340000+404000</f>
        <v>744000</v>
      </c>
      <c r="I189" s="117">
        <f t="shared" si="12"/>
        <v>1741100</v>
      </c>
    </row>
    <row r="190" spans="1:9">
      <c r="A190" s="119">
        <v>99</v>
      </c>
      <c r="B190" s="119">
        <v>17</v>
      </c>
      <c r="C190" s="121" t="s">
        <v>170</v>
      </c>
      <c r="D190" s="106"/>
      <c r="E190" s="106"/>
      <c r="F190" s="117">
        <f t="shared" si="11"/>
        <v>0</v>
      </c>
      <c r="G190" s="106"/>
      <c r="H190" s="106"/>
      <c r="I190" s="117">
        <f t="shared" si="12"/>
        <v>0</v>
      </c>
    </row>
    <row r="191" spans="1:9">
      <c r="A191" s="119">
        <v>100</v>
      </c>
      <c r="B191" s="119">
        <v>18</v>
      </c>
      <c r="C191" s="121" t="s">
        <v>171</v>
      </c>
      <c r="D191" s="106"/>
      <c r="E191" s="106"/>
      <c r="F191" s="117">
        <f t="shared" si="11"/>
        <v>0</v>
      </c>
      <c r="G191" s="106"/>
      <c r="H191" s="106"/>
      <c r="I191" s="117">
        <f t="shared" si="12"/>
        <v>0</v>
      </c>
    </row>
    <row r="192" spans="1:9">
      <c r="A192" s="119">
        <v>101</v>
      </c>
      <c r="B192" s="119">
        <v>19</v>
      </c>
      <c r="C192" s="121" t="s">
        <v>172</v>
      </c>
      <c r="D192" s="106"/>
      <c r="E192" s="106"/>
      <c r="F192" s="117">
        <f t="shared" si="11"/>
        <v>0</v>
      </c>
      <c r="G192" s="106"/>
      <c r="H192" s="106"/>
      <c r="I192" s="117">
        <f t="shared" si="12"/>
        <v>0</v>
      </c>
    </row>
    <row r="193" spans="1:9">
      <c r="A193" s="119">
        <v>102</v>
      </c>
      <c r="B193" s="119">
        <v>20</v>
      </c>
      <c r="C193" s="121" t="s">
        <v>173</v>
      </c>
      <c r="D193" s="106"/>
      <c r="E193" s="106"/>
      <c r="F193" s="117">
        <f t="shared" si="11"/>
        <v>0</v>
      </c>
      <c r="G193" s="106"/>
      <c r="H193" s="106"/>
      <c r="I193" s="117">
        <f t="shared" si="12"/>
        <v>0</v>
      </c>
    </row>
    <row r="194" spans="1:9">
      <c r="A194" s="119">
        <v>103</v>
      </c>
      <c r="B194" s="119">
        <v>21</v>
      </c>
      <c r="C194" s="121" t="s">
        <v>174</v>
      </c>
      <c r="D194" s="106"/>
      <c r="E194" s="106"/>
      <c r="F194" s="117">
        <f>SUM(D194:E194)</f>
        <v>0</v>
      </c>
      <c r="G194" s="106"/>
      <c r="H194" s="106"/>
      <c r="I194" s="117">
        <f>SUM(G194:H194)</f>
        <v>0</v>
      </c>
    </row>
    <row r="195" spans="1:9">
      <c r="A195" s="119">
        <v>104</v>
      </c>
      <c r="B195" s="119">
        <v>22</v>
      </c>
      <c r="C195" s="121" t="s">
        <v>175</v>
      </c>
      <c r="D195" s="106"/>
      <c r="E195" s="106"/>
      <c r="F195" s="117">
        <f>SUM(D195:E195)</f>
        <v>0</v>
      </c>
      <c r="G195" s="106"/>
      <c r="H195" s="106"/>
      <c r="I195" s="117">
        <f t="shared" si="12"/>
        <v>0</v>
      </c>
    </row>
    <row r="196" spans="1:9">
      <c r="A196" s="119">
        <v>105</v>
      </c>
      <c r="B196" s="119">
        <v>23</v>
      </c>
      <c r="C196" s="121" t="s">
        <v>176</v>
      </c>
      <c r="D196" s="106">
        <v>15000</v>
      </c>
      <c r="E196" s="248">
        <v>14000</v>
      </c>
      <c r="F196" s="117">
        <f>SUM(D196:E196)</f>
        <v>29000</v>
      </c>
      <c r="G196" s="106"/>
      <c r="H196" s="106"/>
      <c r="I196" s="117">
        <f t="shared" si="12"/>
        <v>0</v>
      </c>
    </row>
    <row r="197" spans="1:9">
      <c r="A197" s="108" t="s">
        <v>58</v>
      </c>
      <c r="B197" s="109"/>
      <c r="C197" s="109"/>
      <c r="D197" s="110">
        <f>SUM(D174:D196)</f>
        <v>33216979</v>
      </c>
      <c r="E197" s="110">
        <f>SUM(E174:E196)</f>
        <v>1737500</v>
      </c>
      <c r="F197" s="110">
        <f>SUM(D197:E197)</f>
        <v>34954479</v>
      </c>
      <c r="G197" s="110">
        <f>SUM(G174:G196)</f>
        <v>32287943</v>
      </c>
      <c r="H197" s="110">
        <f>SUM(H174:H196)</f>
        <v>1955500</v>
      </c>
      <c r="I197" s="110">
        <f>SUM(G197:H197)</f>
        <v>34243443</v>
      </c>
    </row>
    <row r="198" spans="1:9">
      <c r="A198" s="108" t="s">
        <v>177</v>
      </c>
      <c r="B198" s="109"/>
      <c r="C198" s="109"/>
      <c r="D198" s="109"/>
      <c r="E198" s="109"/>
      <c r="F198" s="109"/>
      <c r="G198" s="109"/>
      <c r="H198" s="109"/>
      <c r="I198" s="113"/>
    </row>
    <row r="199" spans="1:9">
      <c r="A199" s="119">
        <v>106</v>
      </c>
      <c r="B199" s="119">
        <v>1</v>
      </c>
      <c r="C199" s="105" t="s">
        <v>178</v>
      </c>
      <c r="D199" s="106">
        <f>0</f>
        <v>0</v>
      </c>
      <c r="E199" s="248">
        <f>0</f>
        <v>0</v>
      </c>
      <c r="F199" s="117">
        <f>SUM(D199:E199)</f>
        <v>0</v>
      </c>
      <c r="G199" s="106"/>
      <c r="H199" s="106">
        <v>578000</v>
      </c>
      <c r="I199" s="117">
        <f>SUM(G199:H199)</f>
        <v>578000</v>
      </c>
    </row>
    <row r="200" spans="1:9">
      <c r="A200" s="119">
        <v>107</v>
      </c>
      <c r="B200" s="119">
        <v>2</v>
      </c>
      <c r="C200" s="120" t="s">
        <v>179</v>
      </c>
      <c r="D200" s="106">
        <v>348790</v>
      </c>
      <c r="E200" s="248">
        <v>72200</v>
      </c>
      <c r="F200" s="117">
        <f t="shared" ref="F200:F251" si="13">SUM(D200:E200)</f>
        <v>420990</v>
      </c>
      <c r="G200" s="106">
        <v>348790</v>
      </c>
      <c r="H200" s="106">
        <v>72200</v>
      </c>
      <c r="I200" s="117">
        <f t="shared" ref="I200:I251" si="14">SUM(G200:H200)</f>
        <v>420990</v>
      </c>
    </row>
    <row r="201" spans="1:9">
      <c r="A201" s="119">
        <v>108</v>
      </c>
      <c r="B201" s="119">
        <v>3</v>
      </c>
      <c r="C201" s="120" t="s">
        <v>180</v>
      </c>
      <c r="D201" s="106"/>
      <c r="E201" s="248">
        <v>90000</v>
      </c>
      <c r="F201" s="117">
        <f t="shared" si="13"/>
        <v>90000</v>
      </c>
      <c r="G201" s="106"/>
      <c r="H201" s="106">
        <v>90000</v>
      </c>
      <c r="I201" s="117">
        <f t="shared" si="14"/>
        <v>90000</v>
      </c>
    </row>
    <row r="202" spans="1:9">
      <c r="A202" s="119">
        <v>109</v>
      </c>
      <c r="B202" s="119">
        <v>4</v>
      </c>
      <c r="C202" s="105" t="s">
        <v>181</v>
      </c>
      <c r="D202" s="106"/>
      <c r="E202" s="248"/>
      <c r="F202" s="117">
        <f t="shared" si="13"/>
        <v>0</v>
      </c>
      <c r="G202" s="106">
        <v>821400</v>
      </c>
      <c r="H202" s="106">
        <v>82000</v>
      </c>
      <c r="I202" s="117">
        <f t="shared" si="14"/>
        <v>903400</v>
      </c>
    </row>
    <row r="203" spans="1:9">
      <c r="A203" s="119">
        <v>110</v>
      </c>
      <c r="B203" s="119">
        <v>5</v>
      </c>
      <c r="C203" s="130" t="s">
        <v>182</v>
      </c>
      <c r="D203" s="106"/>
      <c r="E203" s="248"/>
      <c r="F203" s="117">
        <f t="shared" si="13"/>
        <v>0</v>
      </c>
      <c r="G203" s="106"/>
      <c r="H203" s="106"/>
      <c r="I203" s="117">
        <f t="shared" si="14"/>
        <v>0</v>
      </c>
    </row>
    <row r="204" spans="1:9">
      <c r="A204" s="119">
        <v>111</v>
      </c>
      <c r="B204" s="119">
        <v>6</v>
      </c>
      <c r="C204" s="130" t="s">
        <v>183</v>
      </c>
      <c r="D204" s="106">
        <v>190075</v>
      </c>
      <c r="E204" s="248">
        <v>350000</v>
      </c>
      <c r="F204" s="117">
        <f t="shared" si="13"/>
        <v>540075</v>
      </c>
      <c r="G204" s="106">
        <v>190075</v>
      </c>
      <c r="H204" s="106">
        <v>350000</v>
      </c>
      <c r="I204" s="117">
        <f t="shared" si="14"/>
        <v>540075</v>
      </c>
    </row>
    <row r="205" spans="1:9">
      <c r="A205" s="119">
        <v>112</v>
      </c>
      <c r="B205" s="119">
        <v>7</v>
      </c>
      <c r="C205" s="130" t="s">
        <v>184</v>
      </c>
      <c r="D205" s="106">
        <v>552300</v>
      </c>
      <c r="E205" s="248">
        <v>381500</v>
      </c>
      <c r="F205" s="117">
        <f t="shared" si="13"/>
        <v>933800</v>
      </c>
      <c r="G205" s="106"/>
      <c r="H205" s="106"/>
      <c r="I205" s="117">
        <f t="shared" si="14"/>
        <v>0</v>
      </c>
    </row>
    <row r="206" spans="1:9">
      <c r="A206" s="119">
        <v>113</v>
      </c>
      <c r="B206" s="119">
        <v>8</v>
      </c>
      <c r="C206" s="130" t="s">
        <v>185</v>
      </c>
      <c r="D206" s="106"/>
      <c r="E206" s="248"/>
      <c r="F206" s="117">
        <f t="shared" si="13"/>
        <v>0</v>
      </c>
      <c r="G206" s="106"/>
      <c r="H206" s="106"/>
      <c r="I206" s="117">
        <f t="shared" si="14"/>
        <v>0</v>
      </c>
    </row>
    <row r="207" spans="1:9">
      <c r="A207" s="119">
        <v>114</v>
      </c>
      <c r="B207" s="119">
        <v>9</v>
      </c>
      <c r="C207" s="130" t="s">
        <v>186</v>
      </c>
      <c r="D207" s="106"/>
      <c r="E207" s="248"/>
      <c r="F207" s="117">
        <f t="shared" si="13"/>
        <v>0</v>
      </c>
      <c r="G207" s="106"/>
      <c r="H207" s="106"/>
      <c r="I207" s="117">
        <f t="shared" si="14"/>
        <v>0</v>
      </c>
    </row>
    <row r="208" spans="1:9">
      <c r="A208" s="119">
        <v>115</v>
      </c>
      <c r="B208" s="119">
        <v>10</v>
      </c>
      <c r="C208" s="130" t="s">
        <v>187</v>
      </c>
      <c r="D208" s="106"/>
      <c r="E208" s="248"/>
      <c r="F208" s="117">
        <f t="shared" si="13"/>
        <v>0</v>
      </c>
      <c r="G208" s="106"/>
      <c r="H208" s="106">
        <f>317000+317000+322000</f>
        <v>956000</v>
      </c>
      <c r="I208" s="117">
        <f t="shared" si="14"/>
        <v>956000</v>
      </c>
    </row>
    <row r="209" spans="1:9">
      <c r="A209" s="119">
        <v>116</v>
      </c>
      <c r="B209" s="119">
        <v>11</v>
      </c>
      <c r="C209" s="130" t="s">
        <v>188</v>
      </c>
      <c r="D209" s="106"/>
      <c r="E209" s="248"/>
      <c r="F209" s="117">
        <f t="shared" si="13"/>
        <v>0</v>
      </c>
      <c r="H209" s="106">
        <f>400000+400000</f>
        <v>800000</v>
      </c>
      <c r="I209" s="117">
        <f>SUM(H209:H209)</f>
        <v>800000</v>
      </c>
    </row>
    <row r="210" spans="1:9">
      <c r="A210" s="119">
        <v>117</v>
      </c>
      <c r="B210" s="119">
        <v>12</v>
      </c>
      <c r="C210" s="130" t="s">
        <v>189</v>
      </c>
      <c r="D210" s="106"/>
      <c r="E210" s="248">
        <v>300000</v>
      </c>
      <c r="F210" s="117">
        <f t="shared" si="13"/>
        <v>300000</v>
      </c>
      <c r="G210" s="106">
        <v>76000</v>
      </c>
      <c r="H210" s="106">
        <v>300000</v>
      </c>
      <c r="I210" s="117">
        <f>SUM(G210:H210)</f>
        <v>376000</v>
      </c>
    </row>
    <row r="211" spans="1:9">
      <c r="A211" s="119">
        <v>118</v>
      </c>
      <c r="B211" s="119">
        <v>13</v>
      </c>
      <c r="C211" s="130" t="s">
        <v>190</v>
      </c>
      <c r="D211" s="106"/>
      <c r="E211" s="248"/>
      <c r="F211" s="117">
        <f t="shared" si="13"/>
        <v>0</v>
      </c>
      <c r="G211" s="106"/>
      <c r="H211" s="106"/>
      <c r="I211" s="117">
        <f t="shared" si="14"/>
        <v>0</v>
      </c>
    </row>
    <row r="212" spans="1:9">
      <c r="A212" s="119">
        <v>119</v>
      </c>
      <c r="B212" s="119">
        <v>14</v>
      </c>
      <c r="C212" s="130" t="s">
        <v>191</v>
      </c>
      <c r="D212" s="106">
        <v>435000</v>
      </c>
      <c r="E212" s="248">
        <v>300000</v>
      </c>
      <c r="F212" s="117">
        <f t="shared" si="13"/>
        <v>735000</v>
      </c>
      <c r="G212" s="106"/>
      <c r="H212" s="106"/>
      <c r="I212" s="117">
        <f t="shared" si="14"/>
        <v>0</v>
      </c>
    </row>
    <row r="213" spans="1:9">
      <c r="A213" s="119">
        <v>120</v>
      </c>
      <c r="B213" s="119">
        <v>15</v>
      </c>
      <c r="C213" s="130" t="s">
        <v>192</v>
      </c>
      <c r="D213" s="106">
        <f>0</f>
        <v>0</v>
      </c>
      <c r="E213" s="248">
        <f>26000</f>
        <v>26000</v>
      </c>
      <c r="F213" s="117">
        <f t="shared" si="13"/>
        <v>26000</v>
      </c>
      <c r="G213" s="106"/>
      <c r="H213" s="106">
        <v>26000</v>
      </c>
      <c r="I213" s="117">
        <f t="shared" si="14"/>
        <v>26000</v>
      </c>
    </row>
    <row r="214" spans="1:9">
      <c r="A214" s="119">
        <v>121</v>
      </c>
      <c r="B214" s="119">
        <v>16</v>
      </c>
      <c r="C214" s="130" t="s">
        <v>193</v>
      </c>
      <c r="D214" s="106">
        <f>0</f>
        <v>0</v>
      </c>
      <c r="E214" s="248"/>
      <c r="F214" s="117">
        <f t="shared" si="13"/>
        <v>0</v>
      </c>
      <c r="G214" s="106"/>
      <c r="H214" s="106"/>
      <c r="I214" s="117">
        <f t="shared" si="14"/>
        <v>0</v>
      </c>
    </row>
    <row r="215" spans="1:9">
      <c r="A215" s="119">
        <v>122</v>
      </c>
      <c r="B215" s="119">
        <v>17</v>
      </c>
      <c r="C215" s="130" t="s">
        <v>194</v>
      </c>
      <c r="D215" s="106">
        <f>0</f>
        <v>0</v>
      </c>
      <c r="E215" s="248">
        <v>27000</v>
      </c>
      <c r="F215" s="117">
        <f t="shared" si="13"/>
        <v>27000</v>
      </c>
      <c r="G215" s="106"/>
      <c r="H215" s="106">
        <v>27000</v>
      </c>
      <c r="I215" s="117">
        <f t="shared" si="14"/>
        <v>27000</v>
      </c>
    </row>
    <row r="216" spans="1:9">
      <c r="A216" s="119">
        <v>123</v>
      </c>
      <c r="B216" s="119">
        <v>18</v>
      </c>
      <c r="C216" s="130" t="s">
        <v>195</v>
      </c>
      <c r="D216" s="106">
        <f>0</f>
        <v>0</v>
      </c>
      <c r="E216" s="248"/>
      <c r="F216" s="117">
        <f t="shared" si="13"/>
        <v>0</v>
      </c>
      <c r="G216" s="106"/>
      <c r="H216" s="106"/>
      <c r="I216" s="117">
        <f t="shared" si="14"/>
        <v>0</v>
      </c>
    </row>
    <row r="217" spans="1:9">
      <c r="A217" s="119">
        <v>124</v>
      </c>
      <c r="B217" s="119">
        <v>19</v>
      </c>
      <c r="C217" s="130" t="s">
        <v>196</v>
      </c>
      <c r="D217" s="106">
        <f>0</f>
        <v>0</v>
      </c>
      <c r="E217" s="248">
        <v>187000</v>
      </c>
      <c r="F217" s="117">
        <f t="shared" si="13"/>
        <v>187000</v>
      </c>
      <c r="G217" s="106"/>
      <c r="H217" s="106">
        <v>187000</v>
      </c>
      <c r="I217" s="117">
        <f t="shared" si="14"/>
        <v>187000</v>
      </c>
    </row>
    <row r="218" spans="1:9">
      <c r="A218" s="119">
        <v>125</v>
      </c>
      <c r="B218" s="119">
        <v>20</v>
      </c>
      <c r="C218" s="130" t="s">
        <v>197</v>
      </c>
      <c r="D218" s="106"/>
      <c r="E218" s="248"/>
      <c r="F218" s="117">
        <f t="shared" si="13"/>
        <v>0</v>
      </c>
      <c r="G218" s="106"/>
      <c r="H218" s="106">
        <f>116000+116000</f>
        <v>232000</v>
      </c>
      <c r="I218" s="117">
        <f t="shared" si="14"/>
        <v>232000</v>
      </c>
    </row>
    <row r="219" spans="1:9">
      <c r="A219" s="119">
        <v>126</v>
      </c>
      <c r="B219" s="119">
        <v>21</v>
      </c>
      <c r="C219" s="130" t="s">
        <v>198</v>
      </c>
      <c r="D219" s="106">
        <v>91000</v>
      </c>
      <c r="E219" s="248">
        <v>145000</v>
      </c>
      <c r="F219" s="117">
        <f t="shared" si="13"/>
        <v>236000</v>
      </c>
      <c r="G219" s="106">
        <v>91000</v>
      </c>
      <c r="H219" s="106">
        <v>145000</v>
      </c>
      <c r="I219" s="117">
        <f t="shared" si="14"/>
        <v>236000</v>
      </c>
    </row>
    <row r="220" spans="1:9">
      <c r="A220" s="119">
        <v>127</v>
      </c>
      <c r="B220" s="119">
        <v>22</v>
      </c>
      <c r="C220" s="130" t="s">
        <v>199</v>
      </c>
      <c r="D220" s="106"/>
      <c r="E220" s="248">
        <v>170000</v>
      </c>
      <c r="F220" s="117">
        <f t="shared" si="13"/>
        <v>170000</v>
      </c>
      <c r="G220" s="106"/>
      <c r="H220" s="106">
        <v>180000</v>
      </c>
      <c r="I220" s="117">
        <f t="shared" si="14"/>
        <v>180000</v>
      </c>
    </row>
    <row r="221" spans="1:9">
      <c r="A221" s="119">
        <v>128</v>
      </c>
      <c r="B221" s="119">
        <v>23</v>
      </c>
      <c r="C221" s="130" t="s">
        <v>200</v>
      </c>
      <c r="D221" s="106"/>
      <c r="E221" s="248"/>
      <c r="F221" s="117">
        <f t="shared" si="13"/>
        <v>0</v>
      </c>
      <c r="G221" s="106"/>
      <c r="H221" s="106"/>
      <c r="I221" s="117">
        <f t="shared" si="14"/>
        <v>0</v>
      </c>
    </row>
    <row r="222" spans="1:9">
      <c r="A222" s="119">
        <v>129</v>
      </c>
      <c r="B222" s="119">
        <v>24</v>
      </c>
      <c r="C222" s="130" t="s">
        <v>201</v>
      </c>
      <c r="D222" s="106">
        <v>79000</v>
      </c>
      <c r="E222" s="106">
        <f>690000+30000</f>
        <v>720000</v>
      </c>
      <c r="F222" s="117">
        <f t="shared" si="13"/>
        <v>799000</v>
      </c>
      <c r="G222" s="106">
        <v>79000</v>
      </c>
      <c r="H222" s="106">
        <v>690000</v>
      </c>
      <c r="I222" s="117">
        <f t="shared" si="14"/>
        <v>769000</v>
      </c>
    </row>
    <row r="223" spans="1:9">
      <c r="A223" s="119">
        <v>130</v>
      </c>
      <c r="B223" s="119">
        <v>25</v>
      </c>
      <c r="C223" s="130" t="s">
        <v>202</v>
      </c>
      <c r="D223" s="106">
        <v>353500</v>
      </c>
      <c r="E223" s="106"/>
      <c r="F223" s="117">
        <f t="shared" si="13"/>
        <v>353500</v>
      </c>
      <c r="G223" s="106">
        <v>354000</v>
      </c>
      <c r="H223" s="106"/>
      <c r="I223" s="117">
        <f t="shared" si="14"/>
        <v>354000</v>
      </c>
    </row>
    <row r="224" spans="1:9">
      <c r="A224" s="119">
        <v>131</v>
      </c>
      <c r="B224" s="119">
        <v>26</v>
      </c>
      <c r="C224" s="130" t="s">
        <v>203</v>
      </c>
      <c r="D224" s="106"/>
      <c r="E224" s="106"/>
      <c r="F224" s="117">
        <f t="shared" si="13"/>
        <v>0</v>
      </c>
      <c r="G224" s="106"/>
      <c r="H224" s="106"/>
      <c r="I224" s="117">
        <f t="shared" si="14"/>
        <v>0</v>
      </c>
    </row>
    <row r="225" spans="1:9">
      <c r="A225" s="119">
        <v>132</v>
      </c>
      <c r="B225" s="119">
        <v>27</v>
      </c>
      <c r="C225" s="130" t="s">
        <v>204</v>
      </c>
      <c r="D225" s="106">
        <v>1000000</v>
      </c>
      <c r="E225" s="106"/>
      <c r="F225" s="117">
        <f t="shared" si="13"/>
        <v>1000000</v>
      </c>
      <c r="G225" s="106">
        <v>1000000</v>
      </c>
      <c r="H225" s="106"/>
      <c r="I225" s="117">
        <f t="shared" si="14"/>
        <v>1000000</v>
      </c>
    </row>
    <row r="226" spans="1:9">
      <c r="A226" s="119">
        <v>133</v>
      </c>
      <c r="B226" s="119">
        <v>28</v>
      </c>
      <c r="C226" s="130" t="s">
        <v>205</v>
      </c>
      <c r="D226" s="106"/>
      <c r="E226" s="106"/>
      <c r="F226" s="117">
        <f t="shared" si="13"/>
        <v>0</v>
      </c>
      <c r="G226" s="106"/>
      <c r="H226" s="106"/>
      <c r="I226" s="117">
        <f t="shared" si="14"/>
        <v>0</v>
      </c>
    </row>
    <row r="227" spans="1:9">
      <c r="A227" s="119">
        <v>134</v>
      </c>
      <c r="B227" s="119">
        <v>29</v>
      </c>
      <c r="C227" s="130" t="s">
        <v>206</v>
      </c>
      <c r="D227" s="106"/>
      <c r="E227" s="106"/>
      <c r="F227" s="117">
        <f t="shared" si="13"/>
        <v>0</v>
      </c>
      <c r="G227" s="106"/>
      <c r="H227" s="106"/>
      <c r="I227" s="117">
        <f t="shared" si="14"/>
        <v>0</v>
      </c>
    </row>
    <row r="228" spans="1:9">
      <c r="A228" s="119">
        <v>135</v>
      </c>
      <c r="B228" s="119">
        <v>30</v>
      </c>
      <c r="C228" s="130" t="s">
        <v>207</v>
      </c>
      <c r="D228" s="106"/>
      <c r="E228" s="106"/>
      <c r="F228" s="117">
        <f t="shared" si="13"/>
        <v>0</v>
      </c>
      <c r="G228" s="106"/>
      <c r="H228" s="106"/>
      <c r="I228" s="117">
        <f t="shared" si="14"/>
        <v>0</v>
      </c>
    </row>
    <row r="229" spans="1:9">
      <c r="A229" s="119">
        <v>136</v>
      </c>
      <c r="B229" s="119">
        <v>31</v>
      </c>
      <c r="C229" s="130" t="s">
        <v>208</v>
      </c>
      <c r="D229" s="106"/>
      <c r="E229" s="106"/>
      <c r="F229" s="117">
        <f t="shared" si="13"/>
        <v>0</v>
      </c>
      <c r="G229" s="106"/>
      <c r="H229" s="106"/>
      <c r="I229" s="117">
        <f t="shared" si="14"/>
        <v>0</v>
      </c>
    </row>
    <row r="230" spans="1:9">
      <c r="A230" s="119">
        <v>137</v>
      </c>
      <c r="B230" s="119">
        <v>32</v>
      </c>
      <c r="C230" s="130" t="s">
        <v>209</v>
      </c>
      <c r="D230" s="106"/>
      <c r="E230" s="106"/>
      <c r="F230" s="117">
        <f t="shared" si="13"/>
        <v>0</v>
      </c>
      <c r="G230" s="106"/>
      <c r="H230" s="106">
        <v>114000</v>
      </c>
      <c r="I230" s="117">
        <f t="shared" si="14"/>
        <v>114000</v>
      </c>
    </row>
    <row r="231" spans="1:9">
      <c r="A231" s="119">
        <v>138</v>
      </c>
      <c r="B231" s="119">
        <v>33</v>
      </c>
      <c r="C231" s="130" t="s">
        <v>210</v>
      </c>
      <c r="D231" s="106">
        <v>86000</v>
      </c>
      <c r="E231" s="106"/>
      <c r="F231" s="117">
        <f t="shared" si="13"/>
        <v>86000</v>
      </c>
      <c r="G231" s="106">
        <v>86000</v>
      </c>
      <c r="H231" s="106"/>
      <c r="I231" s="117">
        <f t="shared" si="14"/>
        <v>86000</v>
      </c>
    </row>
    <row r="232" spans="1:9">
      <c r="A232" s="119">
        <v>139</v>
      </c>
      <c r="B232" s="119">
        <v>34</v>
      </c>
      <c r="C232" s="130" t="s">
        <v>211</v>
      </c>
      <c r="D232" s="106"/>
      <c r="E232" s="106"/>
      <c r="F232" s="117">
        <f t="shared" si="13"/>
        <v>0</v>
      </c>
      <c r="G232" s="106"/>
      <c r="H232" s="106"/>
      <c r="I232" s="117">
        <f t="shared" si="14"/>
        <v>0</v>
      </c>
    </row>
    <row r="233" spans="1:9">
      <c r="A233" s="119">
        <v>140</v>
      </c>
      <c r="B233" s="119">
        <v>35</v>
      </c>
      <c r="C233" s="130" t="s">
        <v>212</v>
      </c>
      <c r="D233" s="106"/>
      <c r="E233" s="106"/>
      <c r="F233" s="117">
        <f t="shared" si="13"/>
        <v>0</v>
      </c>
      <c r="G233" s="106"/>
      <c r="H233" s="106"/>
      <c r="I233" s="117">
        <f t="shared" si="14"/>
        <v>0</v>
      </c>
    </row>
    <row r="234" spans="1:9">
      <c r="A234" s="119">
        <v>141</v>
      </c>
      <c r="B234" s="119">
        <v>36</v>
      </c>
      <c r="C234" s="130" t="s">
        <v>213</v>
      </c>
      <c r="D234" s="106"/>
      <c r="E234" s="106"/>
      <c r="F234" s="117">
        <f t="shared" si="13"/>
        <v>0</v>
      </c>
      <c r="G234" s="106"/>
      <c r="H234" s="106"/>
      <c r="I234" s="117">
        <f t="shared" si="14"/>
        <v>0</v>
      </c>
    </row>
    <row r="235" spans="1:9">
      <c r="A235" s="119">
        <v>142</v>
      </c>
      <c r="B235" s="119">
        <v>37</v>
      </c>
      <c r="C235" s="130" t="s">
        <v>214</v>
      </c>
      <c r="D235" s="106"/>
      <c r="E235" s="106"/>
      <c r="F235" s="117">
        <f t="shared" si="13"/>
        <v>0</v>
      </c>
      <c r="G235" s="106"/>
      <c r="H235" s="106"/>
      <c r="I235" s="117">
        <f t="shared" si="14"/>
        <v>0</v>
      </c>
    </row>
    <row r="236" spans="1:9">
      <c r="A236" s="119">
        <v>143</v>
      </c>
      <c r="B236" s="119">
        <v>38</v>
      </c>
      <c r="C236" s="130" t="s">
        <v>215</v>
      </c>
      <c r="D236" s="106"/>
      <c r="E236" s="106"/>
      <c r="F236" s="117">
        <f t="shared" si="13"/>
        <v>0</v>
      </c>
      <c r="G236" s="106"/>
      <c r="H236" s="106"/>
      <c r="I236" s="117">
        <f t="shared" si="14"/>
        <v>0</v>
      </c>
    </row>
    <row r="237" spans="1:9">
      <c r="A237" s="119">
        <v>144</v>
      </c>
      <c r="B237" s="119">
        <v>39</v>
      </c>
      <c r="C237" s="130" t="s">
        <v>216</v>
      </c>
      <c r="D237" s="106"/>
      <c r="E237" s="248">
        <f>330000+114000</f>
        <v>444000</v>
      </c>
      <c r="F237" s="117">
        <f t="shared" si="13"/>
        <v>444000</v>
      </c>
      <c r="G237" s="106"/>
      <c r="H237" s="106">
        <v>330000</v>
      </c>
      <c r="I237" s="117">
        <f t="shared" si="14"/>
        <v>330000</v>
      </c>
    </row>
    <row r="238" spans="1:9">
      <c r="A238" s="119">
        <v>145</v>
      </c>
      <c r="B238" s="119">
        <v>40</v>
      </c>
      <c r="C238" s="130" t="s">
        <v>217</v>
      </c>
      <c r="D238" s="106"/>
      <c r="E238" s="106"/>
      <c r="F238" s="117">
        <f t="shared" si="13"/>
        <v>0</v>
      </c>
      <c r="G238" s="106"/>
      <c r="H238" s="106"/>
      <c r="I238" s="117">
        <f t="shared" si="14"/>
        <v>0</v>
      </c>
    </row>
    <row r="239" spans="1:9">
      <c r="A239" s="119">
        <v>146</v>
      </c>
      <c r="B239" s="119">
        <v>41</v>
      </c>
      <c r="C239" s="130" t="s">
        <v>218</v>
      </c>
      <c r="D239" s="106"/>
      <c r="E239" s="106"/>
      <c r="F239" s="117">
        <f t="shared" si="13"/>
        <v>0</v>
      </c>
      <c r="G239" s="106"/>
      <c r="H239" s="106">
        <v>750000</v>
      </c>
      <c r="I239" s="117">
        <f t="shared" si="14"/>
        <v>750000</v>
      </c>
    </row>
    <row r="240" spans="1:9">
      <c r="A240" s="119">
        <v>147</v>
      </c>
      <c r="B240" s="119">
        <v>42</v>
      </c>
      <c r="C240" s="130" t="s">
        <v>219</v>
      </c>
      <c r="D240" s="106"/>
      <c r="E240" s="106"/>
      <c r="F240" s="117">
        <f t="shared" si="13"/>
        <v>0</v>
      </c>
      <c r="G240" s="106"/>
      <c r="H240" s="106"/>
      <c r="I240" s="117">
        <f t="shared" si="14"/>
        <v>0</v>
      </c>
    </row>
    <row r="241" spans="1:9">
      <c r="A241" s="119">
        <v>148</v>
      </c>
      <c r="B241" s="119">
        <v>43</v>
      </c>
      <c r="C241" s="130" t="s">
        <v>220</v>
      </c>
      <c r="D241" s="106">
        <v>400000</v>
      </c>
      <c r="E241" s="106"/>
      <c r="F241" s="117">
        <f t="shared" si="13"/>
        <v>400000</v>
      </c>
      <c r="G241" s="106"/>
      <c r="H241" s="106"/>
      <c r="I241" s="117">
        <f t="shared" si="14"/>
        <v>0</v>
      </c>
    </row>
    <row r="242" spans="1:9">
      <c r="A242" s="119">
        <v>149</v>
      </c>
      <c r="B242" s="119">
        <v>44</v>
      </c>
      <c r="C242" s="130" t="s">
        <v>221</v>
      </c>
      <c r="D242" s="106">
        <v>1000000</v>
      </c>
      <c r="E242" s="106"/>
      <c r="F242" s="117">
        <f t="shared" si="13"/>
        <v>1000000</v>
      </c>
      <c r="G242" s="106"/>
      <c r="H242" s="106"/>
      <c r="I242" s="117">
        <f t="shared" si="14"/>
        <v>0</v>
      </c>
    </row>
    <row r="243" spans="1:9">
      <c r="A243" s="119">
        <v>150</v>
      </c>
      <c r="B243" s="119">
        <v>45</v>
      </c>
      <c r="C243" s="130" t="s">
        <v>222</v>
      </c>
      <c r="D243" s="106"/>
      <c r="E243" s="106"/>
      <c r="F243" s="117">
        <f t="shared" si="13"/>
        <v>0</v>
      </c>
      <c r="G243" s="106"/>
      <c r="H243" s="106"/>
      <c r="I243" s="117">
        <f t="shared" si="14"/>
        <v>0</v>
      </c>
    </row>
    <row r="244" spans="1:9">
      <c r="A244" s="119">
        <v>151</v>
      </c>
      <c r="B244" s="119">
        <v>46</v>
      </c>
      <c r="C244" s="130" t="s">
        <v>306</v>
      </c>
      <c r="D244" s="106">
        <f>750000</f>
        <v>750000</v>
      </c>
      <c r="E244" s="106"/>
      <c r="F244" s="117">
        <f t="shared" si="13"/>
        <v>750000</v>
      </c>
      <c r="G244" s="106">
        <v>750000</v>
      </c>
      <c r="H244" s="106"/>
      <c r="I244" s="117">
        <f t="shared" si="14"/>
        <v>750000</v>
      </c>
    </row>
    <row r="245" spans="1:9">
      <c r="A245" s="119">
        <v>152</v>
      </c>
      <c r="B245" s="119">
        <v>47</v>
      </c>
      <c r="C245" s="130" t="s">
        <v>281</v>
      </c>
      <c r="D245" s="106">
        <v>350000</v>
      </c>
      <c r="E245" s="106"/>
      <c r="F245" s="117">
        <f t="shared" si="13"/>
        <v>350000</v>
      </c>
      <c r="G245" s="106">
        <v>350000</v>
      </c>
      <c r="H245" s="106"/>
      <c r="I245" s="117">
        <f t="shared" si="14"/>
        <v>350000</v>
      </c>
    </row>
    <row r="246" spans="1:9">
      <c r="A246" s="119">
        <v>153</v>
      </c>
      <c r="B246" s="119">
        <v>48</v>
      </c>
      <c r="C246" s="130" t="s">
        <v>347</v>
      </c>
      <c r="D246" s="106">
        <v>1000000</v>
      </c>
      <c r="E246" s="106"/>
      <c r="F246" s="117">
        <f t="shared" si="13"/>
        <v>1000000</v>
      </c>
      <c r="G246" s="106">
        <v>1000000</v>
      </c>
      <c r="H246" s="106"/>
      <c r="I246" s="117">
        <f t="shared" si="14"/>
        <v>1000000</v>
      </c>
    </row>
    <row r="247" spans="1:9">
      <c r="A247" s="119">
        <v>154</v>
      </c>
      <c r="B247" s="119">
        <v>49</v>
      </c>
      <c r="C247" s="130" t="s">
        <v>348</v>
      </c>
      <c r="D247" s="106"/>
      <c r="E247" s="106"/>
      <c r="F247" s="117">
        <f t="shared" si="13"/>
        <v>0</v>
      </c>
      <c r="G247" s="106">
        <v>1500000</v>
      </c>
      <c r="H247" s="106"/>
      <c r="I247" s="117">
        <f t="shared" si="14"/>
        <v>1500000</v>
      </c>
    </row>
    <row r="248" spans="1:9">
      <c r="A248" s="119">
        <v>155</v>
      </c>
      <c r="B248" s="119">
        <v>50</v>
      </c>
      <c r="C248" s="130" t="s">
        <v>374</v>
      </c>
      <c r="D248" s="106">
        <v>1700000</v>
      </c>
      <c r="E248" s="106"/>
      <c r="F248" s="117" t="s">
        <v>265</v>
      </c>
      <c r="G248" s="106">
        <v>1700000</v>
      </c>
      <c r="H248" s="106"/>
      <c r="I248" s="117">
        <f t="shared" si="14"/>
        <v>1700000</v>
      </c>
    </row>
    <row r="249" spans="1:9">
      <c r="A249" s="119">
        <v>156</v>
      </c>
      <c r="B249" s="119">
        <v>51</v>
      </c>
      <c r="C249" s="130" t="s">
        <v>375</v>
      </c>
      <c r="D249" s="106">
        <f>0</f>
        <v>0</v>
      </c>
      <c r="E249" s="106">
        <f>0</f>
        <v>0</v>
      </c>
      <c r="F249" s="117">
        <f t="shared" si="13"/>
        <v>0</v>
      </c>
      <c r="G249" s="106"/>
      <c r="H249" s="106"/>
      <c r="I249" s="117">
        <f t="shared" si="14"/>
        <v>0</v>
      </c>
    </row>
    <row r="250" spans="1:9">
      <c r="A250" s="119">
        <v>157</v>
      </c>
      <c r="B250" s="119">
        <v>52</v>
      </c>
      <c r="C250" s="130" t="s">
        <v>224</v>
      </c>
      <c r="D250" s="106">
        <f>0</f>
        <v>0</v>
      </c>
      <c r="E250" s="106">
        <f>0</f>
        <v>0</v>
      </c>
      <c r="F250" s="117">
        <f t="shared" si="13"/>
        <v>0</v>
      </c>
      <c r="G250" s="106"/>
      <c r="H250" s="106"/>
      <c r="I250" s="117">
        <f t="shared" si="14"/>
        <v>0</v>
      </c>
    </row>
    <row r="251" spans="1:9">
      <c r="A251" s="119">
        <v>158</v>
      </c>
      <c r="B251" s="119">
        <v>53</v>
      </c>
      <c r="C251" s="131" t="s">
        <v>225</v>
      </c>
      <c r="D251" s="106"/>
      <c r="E251" s="106">
        <f>0</f>
        <v>0</v>
      </c>
      <c r="F251" s="117">
        <f t="shared" si="13"/>
        <v>0</v>
      </c>
      <c r="G251" s="106">
        <v>860000</v>
      </c>
      <c r="H251" s="106"/>
      <c r="I251" s="117">
        <f t="shared" si="14"/>
        <v>860000</v>
      </c>
    </row>
    <row r="252" spans="1:9">
      <c r="A252" s="132" t="s">
        <v>58</v>
      </c>
      <c r="B252" s="132"/>
      <c r="C252" s="132"/>
      <c r="D252" s="110">
        <f>SUM(D199:D251)</f>
        <v>8335665</v>
      </c>
      <c r="E252" s="110">
        <f>SUM(E199:E251)</f>
        <v>3212700</v>
      </c>
      <c r="F252" s="110">
        <f>SUM(D252:E252)</f>
        <v>11548365</v>
      </c>
      <c r="G252" s="110">
        <f>SUM(G199:G251)</f>
        <v>9206265</v>
      </c>
      <c r="H252" s="110">
        <f>SUM(H199:H251)</f>
        <v>5909200</v>
      </c>
      <c r="I252" s="110">
        <f>SUM(G252:H252)</f>
        <v>15115465</v>
      </c>
    </row>
    <row r="253" spans="1:9">
      <c r="A253" s="108" t="s">
        <v>226</v>
      </c>
      <c r="B253" s="109"/>
      <c r="C253" s="109"/>
      <c r="D253" s="109"/>
      <c r="E253" s="109"/>
      <c r="F253" s="109"/>
      <c r="G253" s="109"/>
      <c r="H253" s="109"/>
      <c r="I253" s="113"/>
    </row>
    <row r="254" spans="1:9">
      <c r="A254" s="119">
        <v>159</v>
      </c>
      <c r="B254" s="119">
        <v>1</v>
      </c>
      <c r="C254" s="125" t="s">
        <v>227</v>
      </c>
      <c r="D254" s="106">
        <v>961778</v>
      </c>
      <c r="E254" s="248">
        <v>30000</v>
      </c>
      <c r="F254" s="117">
        <f>SUM(D254:E254)</f>
        <v>991778</v>
      </c>
      <c r="G254" s="106">
        <v>961778</v>
      </c>
      <c r="H254" s="106">
        <v>30000</v>
      </c>
      <c r="I254" s="117">
        <f>SUM(G254:H254)</f>
        <v>991778</v>
      </c>
    </row>
    <row r="255" spans="1:9">
      <c r="A255" s="108" t="s">
        <v>101</v>
      </c>
      <c r="B255" s="109"/>
      <c r="C255" s="109"/>
      <c r="D255" s="110">
        <f>D254</f>
        <v>961778</v>
      </c>
      <c r="E255" s="110">
        <f>E254</f>
        <v>30000</v>
      </c>
      <c r="F255" s="110">
        <f>SUM(D255:E255)</f>
        <v>991778</v>
      </c>
      <c r="G255" s="110">
        <f>G254</f>
        <v>961778</v>
      </c>
      <c r="H255" s="110">
        <f>H254</f>
        <v>30000</v>
      </c>
      <c r="I255" s="110">
        <f>SUM(G255:H255)</f>
        <v>991778</v>
      </c>
    </row>
    <row r="256" spans="1:9">
      <c r="A256" s="108" t="s">
        <v>228</v>
      </c>
      <c r="B256" s="109"/>
      <c r="C256" s="109"/>
      <c r="D256" s="109"/>
      <c r="E256" s="109"/>
      <c r="F256" s="109"/>
      <c r="G256" s="109"/>
      <c r="H256" s="109"/>
      <c r="I256" s="113"/>
    </row>
    <row r="257" spans="1:9">
      <c r="A257" s="119">
        <v>160</v>
      </c>
      <c r="B257" s="119">
        <v>1</v>
      </c>
      <c r="C257" s="133" t="s">
        <v>229</v>
      </c>
      <c r="D257" s="106">
        <f>0</f>
        <v>0</v>
      </c>
      <c r="E257" s="134">
        <f>0</f>
        <v>0</v>
      </c>
      <c r="F257" s="117">
        <f>SUM(D257:E257)</f>
        <v>0</v>
      </c>
      <c r="G257" s="106">
        <v>3850000</v>
      </c>
      <c r="H257" s="134"/>
      <c r="I257" s="117">
        <f>SUM(G257:H257)</f>
        <v>3850000</v>
      </c>
    </row>
    <row r="258" spans="1:9">
      <c r="A258" s="119">
        <v>161</v>
      </c>
      <c r="B258" s="119">
        <v>2</v>
      </c>
      <c r="C258" s="220" t="s">
        <v>429</v>
      </c>
      <c r="D258" s="106">
        <f>0</f>
        <v>0</v>
      </c>
      <c r="E258" s="134">
        <f>1500000</f>
        <v>1500000</v>
      </c>
      <c r="F258" s="117">
        <f>SUM(D258:E258)</f>
        <v>1500000</v>
      </c>
      <c r="G258" s="106"/>
      <c r="H258" s="134"/>
      <c r="I258" s="117">
        <f>G258+H258</f>
        <v>0</v>
      </c>
    </row>
    <row r="259" spans="1:9">
      <c r="A259" s="108" t="s">
        <v>101</v>
      </c>
      <c r="B259" s="109"/>
      <c r="C259" s="109"/>
      <c r="D259" s="110">
        <f>SUM(D257:D258)</f>
        <v>0</v>
      </c>
      <c r="E259" s="110">
        <f>SUM(E257:E258)</f>
        <v>1500000</v>
      </c>
      <c r="F259" s="110">
        <f>SUM(D259:E259)</f>
        <v>1500000</v>
      </c>
      <c r="G259" s="110">
        <f>SUM(G257:G258)</f>
        <v>3850000</v>
      </c>
      <c r="H259" s="110">
        <f>SUM(H257:H258)</f>
        <v>0</v>
      </c>
      <c r="I259" s="110">
        <f>SUM(G259:H259)</f>
        <v>3850000</v>
      </c>
    </row>
    <row r="260" spans="1:9">
      <c r="A260" s="108" t="s">
        <v>230</v>
      </c>
      <c r="B260" s="109"/>
      <c r="C260" s="109"/>
      <c r="D260" s="109"/>
      <c r="E260" s="109"/>
      <c r="F260" s="109"/>
      <c r="G260" s="109"/>
      <c r="H260" s="109"/>
      <c r="I260" s="113"/>
    </row>
    <row r="261" spans="1:9">
      <c r="A261" s="119">
        <v>162</v>
      </c>
      <c r="B261" s="119">
        <v>1</v>
      </c>
      <c r="C261" s="120" t="s">
        <v>231</v>
      </c>
      <c r="D261" s="106">
        <f>0</f>
        <v>0</v>
      </c>
      <c r="E261" s="248">
        <v>22005500</v>
      </c>
      <c r="F261" s="117">
        <f>SUM(D261:E261)</f>
        <v>22005500</v>
      </c>
      <c r="G261" s="106"/>
      <c r="H261" s="106"/>
      <c r="I261" s="117">
        <f>SUM(G261:H261)</f>
        <v>0</v>
      </c>
    </row>
    <row r="262" spans="1:9">
      <c r="A262" s="119">
        <v>163</v>
      </c>
      <c r="B262" s="119">
        <v>2</v>
      </c>
      <c r="C262" s="120" t="s">
        <v>232</v>
      </c>
      <c r="D262" s="106">
        <f>0</f>
        <v>0</v>
      </c>
      <c r="E262" s="106">
        <f>0</f>
        <v>0</v>
      </c>
      <c r="F262" s="117">
        <f t="shared" ref="F262:F280" si="15">SUM(D262:E262)</f>
        <v>0</v>
      </c>
      <c r="G262" s="106"/>
      <c r="H262" s="106"/>
      <c r="I262" s="117">
        <f t="shared" ref="I262:I275" si="16">SUM(G262:H262)</f>
        <v>0</v>
      </c>
    </row>
    <row r="263" spans="1:9">
      <c r="A263" s="119">
        <v>164</v>
      </c>
      <c r="B263" s="119">
        <v>3</v>
      </c>
      <c r="C263" s="199" t="s">
        <v>307</v>
      </c>
      <c r="D263" s="106">
        <f>0</f>
        <v>0</v>
      </c>
      <c r="E263" s="106">
        <f>0</f>
        <v>0</v>
      </c>
      <c r="F263" s="117">
        <f t="shared" si="15"/>
        <v>0</v>
      </c>
      <c r="G263" s="106"/>
      <c r="H263" s="106"/>
      <c r="I263" s="117">
        <f t="shared" si="16"/>
        <v>0</v>
      </c>
    </row>
    <row r="264" spans="1:9">
      <c r="A264" s="119">
        <v>165</v>
      </c>
      <c r="B264" s="119">
        <v>4</v>
      </c>
      <c r="C264" s="133" t="s">
        <v>566</v>
      </c>
      <c r="D264" s="106">
        <f>150000+400000</f>
        <v>550000</v>
      </c>
      <c r="E264" s="106">
        <f>400000</f>
        <v>400000</v>
      </c>
      <c r="F264" s="117">
        <f t="shared" si="15"/>
        <v>950000</v>
      </c>
      <c r="G264" s="106">
        <f>200000+110000+100000</f>
        <v>410000</v>
      </c>
      <c r="H264" s="106">
        <f>70000+200000</f>
        <v>270000</v>
      </c>
      <c r="I264" s="117">
        <f t="shared" si="16"/>
        <v>680000</v>
      </c>
    </row>
    <row r="265" spans="1:9">
      <c r="A265" s="119">
        <v>166</v>
      </c>
      <c r="B265" s="119">
        <v>5</v>
      </c>
      <c r="C265" s="133" t="s">
        <v>567</v>
      </c>
      <c r="D265" s="106">
        <v>125000</v>
      </c>
      <c r="E265" s="106">
        <f>100000+100000</f>
        <v>200000</v>
      </c>
      <c r="F265" s="117">
        <f t="shared" si="15"/>
        <v>325000</v>
      </c>
      <c r="G265" s="106">
        <v>210000</v>
      </c>
      <c r="H265" s="106">
        <f>100000+100000</f>
        <v>200000</v>
      </c>
      <c r="I265" s="117">
        <f t="shared" si="16"/>
        <v>410000</v>
      </c>
    </row>
    <row r="266" spans="1:9">
      <c r="A266" s="119">
        <v>167</v>
      </c>
      <c r="B266" s="119">
        <v>6</v>
      </c>
      <c r="C266" s="133" t="s">
        <v>234</v>
      </c>
      <c r="D266" s="106">
        <v>120000</v>
      </c>
      <c r="E266" s="106">
        <f>0</f>
        <v>0</v>
      </c>
      <c r="F266" s="117">
        <f t="shared" si="15"/>
        <v>120000</v>
      </c>
      <c r="G266" s="106">
        <v>120000</v>
      </c>
      <c r="H266" s="106"/>
      <c r="I266" s="117">
        <f t="shared" si="16"/>
        <v>120000</v>
      </c>
    </row>
    <row r="267" spans="1:9">
      <c r="A267" s="119">
        <v>168</v>
      </c>
      <c r="B267" s="119">
        <v>7</v>
      </c>
      <c r="C267" s="135" t="s">
        <v>430</v>
      </c>
      <c r="D267" s="106">
        <v>135000</v>
      </c>
      <c r="E267" s="106">
        <f>0</f>
        <v>0</v>
      </c>
      <c r="F267" s="117">
        <f t="shared" si="15"/>
        <v>135000</v>
      </c>
      <c r="G267" s="106"/>
      <c r="H267" s="106"/>
      <c r="I267" s="117">
        <f t="shared" si="16"/>
        <v>0</v>
      </c>
    </row>
    <row r="268" spans="1:9" ht="26.25">
      <c r="A268" s="119">
        <v>169</v>
      </c>
      <c r="B268" s="119">
        <v>8</v>
      </c>
      <c r="C268" s="135" t="s">
        <v>432</v>
      </c>
      <c r="D268" s="106">
        <v>76000</v>
      </c>
      <c r="E268" s="106">
        <f>0</f>
        <v>0</v>
      </c>
      <c r="F268" s="117">
        <f t="shared" si="15"/>
        <v>76000</v>
      </c>
      <c r="G268" s="106"/>
      <c r="H268" s="106"/>
      <c r="I268" s="117">
        <f>SUM(G268:H268)</f>
        <v>0</v>
      </c>
    </row>
    <row r="269" spans="1:9" ht="26.25">
      <c r="A269" s="119">
        <v>170</v>
      </c>
      <c r="B269" s="119">
        <v>9</v>
      </c>
      <c r="C269" s="135" t="s">
        <v>238</v>
      </c>
      <c r="D269" s="106">
        <v>1375000</v>
      </c>
      <c r="E269" s="106">
        <f>0</f>
        <v>0</v>
      </c>
      <c r="F269" s="117">
        <f t="shared" si="15"/>
        <v>1375000</v>
      </c>
      <c r="G269" s="106"/>
      <c r="H269" s="106"/>
      <c r="I269" s="117">
        <f t="shared" si="16"/>
        <v>0</v>
      </c>
    </row>
    <row r="270" spans="1:9" ht="39">
      <c r="A270" s="119">
        <v>171</v>
      </c>
      <c r="B270" s="119">
        <v>10</v>
      </c>
      <c r="C270" s="135" t="s">
        <v>442</v>
      </c>
      <c r="D270" s="106">
        <f>35000+7500</f>
        <v>42500</v>
      </c>
      <c r="E270" s="106">
        <f>0</f>
        <v>0</v>
      </c>
      <c r="F270" s="117">
        <f t="shared" si="15"/>
        <v>42500</v>
      </c>
      <c r="G270" s="106"/>
      <c r="H270" s="106"/>
      <c r="I270" s="117">
        <f t="shared" si="16"/>
        <v>0</v>
      </c>
    </row>
    <row r="271" spans="1:9" ht="26.25">
      <c r="A271" s="119">
        <v>172</v>
      </c>
      <c r="B271" s="119">
        <v>11</v>
      </c>
      <c r="C271" s="135" t="s">
        <v>236</v>
      </c>
      <c r="D271" s="106"/>
      <c r="E271" s="106"/>
      <c r="F271" s="117">
        <f t="shared" si="15"/>
        <v>0</v>
      </c>
      <c r="G271" s="106"/>
      <c r="H271" s="106"/>
      <c r="I271" s="117">
        <f>SUM(G271:H271)</f>
        <v>0</v>
      </c>
    </row>
    <row r="272" spans="1:9" ht="51.75">
      <c r="A272" s="119">
        <v>173</v>
      </c>
      <c r="B272" s="119">
        <v>12</v>
      </c>
      <c r="C272" s="135" t="s">
        <v>523</v>
      </c>
      <c r="D272" s="106"/>
      <c r="E272" s="106"/>
      <c r="F272" s="117">
        <f t="shared" si="15"/>
        <v>0</v>
      </c>
      <c r="G272" s="106"/>
      <c r="H272" s="106"/>
      <c r="I272" s="117">
        <f>SUM(G272:H272)</f>
        <v>0</v>
      </c>
    </row>
    <row r="273" spans="1:9" ht="26.25">
      <c r="A273" s="119">
        <v>174</v>
      </c>
      <c r="B273" s="119">
        <v>13</v>
      </c>
      <c r="C273" s="135" t="s">
        <v>524</v>
      </c>
      <c r="D273" s="106"/>
      <c r="E273" s="106"/>
      <c r="F273" s="117">
        <f t="shared" si="15"/>
        <v>0</v>
      </c>
      <c r="G273" s="106"/>
      <c r="H273" s="106"/>
      <c r="I273" s="117">
        <f>SUM(G273:H273)</f>
        <v>0</v>
      </c>
    </row>
    <row r="274" spans="1:9">
      <c r="A274" s="119">
        <v>175</v>
      </c>
      <c r="B274" s="119">
        <v>14</v>
      </c>
      <c r="C274" s="135" t="s">
        <v>525</v>
      </c>
      <c r="D274" s="106"/>
      <c r="E274" s="106"/>
      <c r="F274" s="117">
        <f t="shared" si="15"/>
        <v>0</v>
      </c>
      <c r="G274" s="106"/>
      <c r="H274" s="106"/>
      <c r="I274" s="117">
        <f>SUM(G274:H274)</f>
        <v>0</v>
      </c>
    </row>
    <row r="275" spans="1:9" ht="26.25">
      <c r="A275" s="119">
        <v>176</v>
      </c>
      <c r="B275" s="119">
        <v>15</v>
      </c>
      <c r="C275" s="135" t="s">
        <v>282</v>
      </c>
      <c r="D275" s="106">
        <v>75000</v>
      </c>
      <c r="E275" s="106">
        <f>0</f>
        <v>0</v>
      </c>
      <c r="F275" s="117">
        <f t="shared" si="15"/>
        <v>75000</v>
      </c>
      <c r="G275" s="106"/>
      <c r="H275" s="106"/>
      <c r="I275" s="117">
        <f t="shared" si="16"/>
        <v>0</v>
      </c>
    </row>
    <row r="276" spans="1:9" ht="26.25">
      <c r="A276" s="119">
        <v>177</v>
      </c>
      <c r="B276" s="119">
        <v>16</v>
      </c>
      <c r="C276" s="135" t="s">
        <v>283</v>
      </c>
      <c r="D276" s="106">
        <f>350000</f>
        <v>350000</v>
      </c>
      <c r="E276" s="106">
        <f>0</f>
        <v>0</v>
      </c>
      <c r="F276" s="117">
        <f t="shared" si="15"/>
        <v>350000</v>
      </c>
      <c r="G276" s="106">
        <v>350000</v>
      </c>
      <c r="H276" s="106"/>
      <c r="I276" s="117">
        <f>SUM(G276:H276)</f>
        <v>350000</v>
      </c>
    </row>
    <row r="277" spans="1:9" ht="26.25">
      <c r="A277" s="119">
        <v>178</v>
      </c>
      <c r="B277" s="119">
        <v>17</v>
      </c>
      <c r="C277" s="135" t="s">
        <v>235</v>
      </c>
      <c r="D277" s="106"/>
      <c r="E277" s="106">
        <f>0</f>
        <v>0</v>
      </c>
      <c r="F277" s="117">
        <f t="shared" si="15"/>
        <v>0</v>
      </c>
      <c r="G277" s="106"/>
      <c r="H277" s="106"/>
      <c r="I277" s="117">
        <f t="shared" ref="I277:I283" si="17">SUM(G277:H277)</f>
        <v>0</v>
      </c>
    </row>
    <row r="278" spans="1:9">
      <c r="A278" s="119">
        <v>179</v>
      </c>
      <c r="B278" s="119">
        <v>18</v>
      </c>
      <c r="C278" s="135" t="s">
        <v>568</v>
      </c>
      <c r="D278" s="106">
        <v>216000</v>
      </c>
      <c r="E278" s="106"/>
      <c r="F278" s="117">
        <f t="shared" si="15"/>
        <v>216000</v>
      </c>
      <c r="G278" s="106">
        <v>216000</v>
      </c>
      <c r="H278" s="106"/>
      <c r="I278" s="117">
        <f t="shared" si="17"/>
        <v>216000</v>
      </c>
    </row>
    <row r="279" spans="1:9" ht="26.25">
      <c r="A279" s="119">
        <v>180</v>
      </c>
      <c r="B279" s="119">
        <v>19</v>
      </c>
      <c r="C279" s="135" t="s">
        <v>569</v>
      </c>
      <c r="D279" s="106">
        <v>460000</v>
      </c>
      <c r="E279" s="106"/>
      <c r="F279" s="117">
        <f t="shared" si="15"/>
        <v>460000</v>
      </c>
      <c r="G279" s="106"/>
      <c r="H279" s="106"/>
      <c r="I279" s="117">
        <f t="shared" si="17"/>
        <v>0</v>
      </c>
    </row>
    <row r="280" spans="1:9">
      <c r="A280" s="119">
        <v>181</v>
      </c>
      <c r="B280" s="119">
        <v>20</v>
      </c>
      <c r="C280" s="220" t="s">
        <v>252</v>
      </c>
      <c r="D280" s="106">
        <f>0</f>
        <v>0</v>
      </c>
      <c r="E280" s="106">
        <f>0</f>
        <v>0</v>
      </c>
      <c r="F280" s="117">
        <f t="shared" si="15"/>
        <v>0</v>
      </c>
      <c r="G280" s="106"/>
      <c r="H280" s="106"/>
      <c r="I280" s="117">
        <f t="shared" si="17"/>
        <v>0</v>
      </c>
    </row>
    <row r="281" spans="1:9">
      <c r="A281" s="119">
        <v>182</v>
      </c>
      <c r="B281" s="119">
        <v>21</v>
      </c>
      <c r="C281" s="220" t="s">
        <v>609</v>
      </c>
      <c r="D281" s="295"/>
      <c r="E281" s="134"/>
      <c r="F281" s="296"/>
      <c r="G281" s="106">
        <v>50000</v>
      </c>
      <c r="H281" s="106"/>
      <c r="I281" s="117">
        <f t="shared" si="17"/>
        <v>50000</v>
      </c>
    </row>
    <row r="282" spans="1:9">
      <c r="A282" s="119">
        <v>183</v>
      </c>
      <c r="B282" s="119">
        <v>22</v>
      </c>
      <c r="C282" s="297" t="s">
        <v>610</v>
      </c>
      <c r="D282" s="295"/>
      <c r="E282" s="134"/>
      <c r="F282" s="296"/>
      <c r="G282" s="106">
        <v>1500000</v>
      </c>
      <c r="H282" s="298"/>
      <c r="I282" s="117">
        <f>SUM(G282:H282)</f>
        <v>1500000</v>
      </c>
    </row>
    <row r="283" spans="1:9">
      <c r="A283" s="119">
        <v>184</v>
      </c>
      <c r="B283" s="119">
        <v>23</v>
      </c>
      <c r="C283" s="297" t="s">
        <v>611</v>
      </c>
      <c r="D283" s="295"/>
      <c r="E283" s="134"/>
      <c r="F283" s="296"/>
      <c r="G283" s="295"/>
      <c r="H283" s="134">
        <v>50000</v>
      </c>
      <c r="I283" s="117">
        <f t="shared" si="17"/>
        <v>50000</v>
      </c>
    </row>
    <row r="284" spans="1:9" ht="15.75" thickBot="1">
      <c r="A284" s="137" t="s">
        <v>101</v>
      </c>
      <c r="B284" s="138"/>
      <c r="C284" s="139"/>
      <c r="D284" s="140">
        <f>SUM(D261:D283)</f>
        <v>3524500</v>
      </c>
      <c r="E284" s="140">
        <f>SUM(E261:E280)</f>
        <v>22605500</v>
      </c>
      <c r="F284" s="140">
        <f>SUM(D284:E284)</f>
        <v>26130000</v>
      </c>
      <c r="G284" s="140">
        <f>SUM(G261:G283)</f>
        <v>2856000</v>
      </c>
      <c r="H284" s="140">
        <f>SUM(H261:H283)</f>
        <v>520000</v>
      </c>
      <c r="I284" s="140">
        <f>SUM(G284:H284)</f>
        <v>3376000</v>
      </c>
    </row>
    <row r="285" spans="1:9" ht="15.75" thickTop="1">
      <c r="A285" s="108" t="s">
        <v>570</v>
      </c>
      <c r="B285" s="109"/>
      <c r="C285" s="109"/>
      <c r="D285" s="109"/>
      <c r="E285" s="109"/>
      <c r="F285" s="109"/>
      <c r="G285" s="109"/>
      <c r="H285" s="109"/>
      <c r="I285" s="113"/>
    </row>
    <row r="286" spans="1:9">
      <c r="A286" s="251">
        <v>186</v>
      </c>
      <c r="B286" s="119">
        <v>1</v>
      </c>
      <c r="C286" s="252" t="s">
        <v>87</v>
      </c>
      <c r="D286" s="106">
        <f>0</f>
        <v>0</v>
      </c>
      <c r="E286" s="253">
        <v>400000</v>
      </c>
      <c r="F286" s="117">
        <f>SUM(D286:E286)</f>
        <v>400000</v>
      </c>
      <c r="G286" s="106"/>
      <c r="H286" s="253"/>
      <c r="I286" s="117">
        <f t="shared" ref="I286:I309" si="18">SUM(G286:H286)</f>
        <v>0</v>
      </c>
    </row>
    <row r="287" spans="1:9">
      <c r="A287" s="251">
        <v>187</v>
      </c>
      <c r="B287" s="119">
        <v>2</v>
      </c>
      <c r="C287" s="252" t="s">
        <v>83</v>
      </c>
      <c r="D287" s="106">
        <f>0</f>
        <v>0</v>
      </c>
      <c r="E287" s="253">
        <v>1050000</v>
      </c>
      <c r="F287" s="117">
        <f t="shared" ref="F287:F308" si="19">SUM(D287:E287)</f>
        <v>1050000</v>
      </c>
      <c r="G287" s="106"/>
      <c r="H287" s="253"/>
      <c r="I287" s="117">
        <f t="shared" si="18"/>
        <v>0</v>
      </c>
    </row>
    <row r="288" spans="1:9">
      <c r="A288" s="251">
        <v>188</v>
      </c>
      <c r="B288" s="119">
        <v>3</v>
      </c>
      <c r="C288" s="252" t="s">
        <v>89</v>
      </c>
      <c r="D288" s="106">
        <f>0</f>
        <v>0</v>
      </c>
      <c r="E288" s="253">
        <v>800000</v>
      </c>
      <c r="F288" s="117">
        <f t="shared" si="19"/>
        <v>800000</v>
      </c>
      <c r="G288" s="106"/>
      <c r="H288" s="253"/>
      <c r="I288" s="117">
        <f t="shared" si="18"/>
        <v>0</v>
      </c>
    </row>
    <row r="289" spans="1:9">
      <c r="A289" s="251">
        <v>189</v>
      </c>
      <c r="B289" s="119">
        <v>4</v>
      </c>
      <c r="C289" s="252" t="s">
        <v>79</v>
      </c>
      <c r="D289" s="106">
        <f>0</f>
        <v>0</v>
      </c>
      <c r="E289" s="253">
        <v>200000</v>
      </c>
      <c r="F289" s="117">
        <f t="shared" si="19"/>
        <v>200000</v>
      </c>
      <c r="G289" s="106"/>
      <c r="H289" s="253"/>
      <c r="I289" s="117">
        <f t="shared" si="18"/>
        <v>0</v>
      </c>
    </row>
    <row r="290" spans="1:9">
      <c r="A290" s="251">
        <v>190</v>
      </c>
      <c r="B290" s="119">
        <v>5</v>
      </c>
      <c r="C290" s="254" t="s">
        <v>571</v>
      </c>
      <c r="D290" s="106">
        <f>0</f>
        <v>0</v>
      </c>
      <c r="E290" s="253">
        <v>986500</v>
      </c>
      <c r="F290" s="117">
        <f t="shared" si="19"/>
        <v>986500</v>
      </c>
      <c r="G290" s="106"/>
      <c r="H290" s="253"/>
      <c r="I290" s="117">
        <f t="shared" si="18"/>
        <v>0</v>
      </c>
    </row>
    <row r="291" spans="1:9">
      <c r="A291" s="251">
        <v>191</v>
      </c>
      <c r="B291" s="119">
        <v>6</v>
      </c>
      <c r="C291" s="254" t="s">
        <v>572</v>
      </c>
      <c r="D291" s="106">
        <f>0</f>
        <v>0</v>
      </c>
      <c r="E291" s="253">
        <v>242000</v>
      </c>
      <c r="F291" s="117">
        <f t="shared" si="19"/>
        <v>242000</v>
      </c>
      <c r="G291" s="106"/>
      <c r="H291" s="253"/>
      <c r="I291" s="117">
        <f t="shared" si="18"/>
        <v>0</v>
      </c>
    </row>
    <row r="292" spans="1:9">
      <c r="A292" s="251">
        <v>192</v>
      </c>
      <c r="B292" s="119">
        <v>7</v>
      </c>
      <c r="C292" s="254" t="s">
        <v>427</v>
      </c>
      <c r="D292" s="106">
        <f>0</f>
        <v>0</v>
      </c>
      <c r="E292" s="253">
        <v>1000000</v>
      </c>
      <c r="F292" s="117">
        <f t="shared" si="19"/>
        <v>1000000</v>
      </c>
      <c r="G292" s="106"/>
      <c r="H292" s="253"/>
      <c r="I292" s="117">
        <f t="shared" si="18"/>
        <v>0</v>
      </c>
    </row>
    <row r="293" spans="1:9">
      <c r="A293" s="251">
        <v>193</v>
      </c>
      <c r="B293" s="119">
        <v>8</v>
      </c>
      <c r="C293" s="254" t="s">
        <v>573</v>
      </c>
      <c r="D293" s="106">
        <f>0</f>
        <v>0</v>
      </c>
      <c r="E293" s="253">
        <v>90000</v>
      </c>
      <c r="F293" s="117">
        <f t="shared" si="19"/>
        <v>90000</v>
      </c>
      <c r="G293" s="106"/>
      <c r="H293" s="253"/>
      <c r="I293" s="117">
        <f t="shared" si="18"/>
        <v>0</v>
      </c>
    </row>
    <row r="294" spans="1:9">
      <c r="A294" s="251">
        <v>194</v>
      </c>
      <c r="B294" s="119">
        <v>9</v>
      </c>
      <c r="C294" s="252" t="s">
        <v>65</v>
      </c>
      <c r="D294" s="106">
        <f>0</f>
        <v>0</v>
      </c>
      <c r="E294" s="253">
        <v>2570000</v>
      </c>
      <c r="F294" s="117">
        <f t="shared" si="19"/>
        <v>2570000</v>
      </c>
      <c r="G294" s="106"/>
      <c r="H294" s="253"/>
      <c r="I294" s="117">
        <f t="shared" si="18"/>
        <v>0</v>
      </c>
    </row>
    <row r="295" spans="1:9">
      <c r="A295" s="251">
        <v>195</v>
      </c>
      <c r="B295" s="119">
        <v>10</v>
      </c>
      <c r="C295" s="252" t="s">
        <v>84</v>
      </c>
      <c r="D295" s="106">
        <f>0</f>
        <v>0</v>
      </c>
      <c r="E295" s="253">
        <v>253000</v>
      </c>
      <c r="F295" s="117">
        <f t="shared" si="19"/>
        <v>253000</v>
      </c>
      <c r="G295" s="106"/>
      <c r="H295" s="253"/>
      <c r="I295" s="117">
        <f t="shared" si="18"/>
        <v>0</v>
      </c>
    </row>
    <row r="296" spans="1:9">
      <c r="A296" s="251">
        <v>196</v>
      </c>
      <c r="B296" s="119">
        <v>11</v>
      </c>
      <c r="C296" s="254" t="s">
        <v>113</v>
      </c>
      <c r="D296" s="106">
        <f>0</f>
        <v>0</v>
      </c>
      <c r="E296" s="253">
        <v>750000</v>
      </c>
      <c r="F296" s="117">
        <f t="shared" si="19"/>
        <v>750000</v>
      </c>
      <c r="G296" s="106"/>
      <c r="H296" s="253"/>
      <c r="I296" s="117">
        <f t="shared" si="18"/>
        <v>0</v>
      </c>
    </row>
    <row r="297" spans="1:9">
      <c r="A297" s="251">
        <v>197</v>
      </c>
      <c r="B297" s="119">
        <v>12</v>
      </c>
      <c r="C297" s="254" t="s">
        <v>131</v>
      </c>
      <c r="D297" s="106"/>
      <c r="E297" s="253"/>
      <c r="F297" s="117"/>
      <c r="G297" s="106"/>
      <c r="H297" s="253">
        <v>385000</v>
      </c>
      <c r="I297" s="117">
        <f t="shared" si="18"/>
        <v>385000</v>
      </c>
    </row>
    <row r="298" spans="1:9">
      <c r="A298" s="251">
        <v>198</v>
      </c>
      <c r="B298" s="119">
        <v>13</v>
      </c>
      <c r="C298" s="254" t="s">
        <v>128</v>
      </c>
      <c r="D298" s="106"/>
      <c r="E298" s="253"/>
      <c r="F298" s="117"/>
      <c r="G298" s="106"/>
      <c r="H298" s="253">
        <f>4875000+4550000</f>
        <v>9425000</v>
      </c>
      <c r="I298" s="117">
        <f t="shared" si="18"/>
        <v>9425000</v>
      </c>
    </row>
    <row r="299" spans="1:9">
      <c r="A299" s="251">
        <v>199</v>
      </c>
      <c r="B299" s="119">
        <v>14</v>
      </c>
      <c r="C299" s="254" t="s">
        <v>126</v>
      </c>
      <c r="D299" s="106"/>
      <c r="E299" s="253"/>
      <c r="F299" s="117"/>
      <c r="G299" s="106"/>
      <c r="H299" s="253">
        <v>750000</v>
      </c>
      <c r="I299" s="117">
        <f t="shared" si="18"/>
        <v>750000</v>
      </c>
    </row>
    <row r="300" spans="1:9">
      <c r="A300" s="251">
        <v>200</v>
      </c>
      <c r="B300" s="119">
        <v>15</v>
      </c>
      <c r="C300" s="254" t="s">
        <v>612</v>
      </c>
      <c r="D300" s="106"/>
      <c r="E300" s="253"/>
      <c r="F300" s="117"/>
      <c r="G300" s="106"/>
      <c r="H300" s="253">
        <v>4022000</v>
      </c>
      <c r="I300" s="117">
        <f t="shared" si="18"/>
        <v>4022000</v>
      </c>
    </row>
    <row r="301" spans="1:9">
      <c r="A301" s="251">
        <v>201</v>
      </c>
      <c r="B301" s="119">
        <v>16</v>
      </c>
      <c r="C301" s="254" t="s">
        <v>574</v>
      </c>
      <c r="D301" s="106">
        <f>0</f>
        <v>0</v>
      </c>
      <c r="E301" s="253">
        <v>1050000</v>
      </c>
      <c r="F301" s="117">
        <f t="shared" si="19"/>
        <v>1050000</v>
      </c>
      <c r="G301" s="106"/>
      <c r="I301" s="117">
        <f t="shared" si="18"/>
        <v>0</v>
      </c>
    </row>
    <row r="302" spans="1:9">
      <c r="A302" s="251">
        <v>202</v>
      </c>
      <c r="B302" s="119">
        <v>17</v>
      </c>
      <c r="C302" s="252" t="s">
        <v>72</v>
      </c>
      <c r="D302" s="106">
        <f>0</f>
        <v>0</v>
      </c>
      <c r="E302" s="253">
        <v>1000000</v>
      </c>
      <c r="F302" s="117">
        <f t="shared" si="19"/>
        <v>1000000</v>
      </c>
      <c r="G302" s="106"/>
      <c r="H302" s="253"/>
      <c r="I302" s="117">
        <f t="shared" si="18"/>
        <v>0</v>
      </c>
    </row>
    <row r="303" spans="1:9">
      <c r="A303" s="251">
        <v>203</v>
      </c>
      <c r="B303" s="119">
        <v>18</v>
      </c>
      <c r="C303" s="252" t="s">
        <v>85</v>
      </c>
      <c r="D303" s="106">
        <f>0</f>
        <v>0</v>
      </c>
      <c r="E303" s="253">
        <v>600000</v>
      </c>
      <c r="F303" s="117">
        <f t="shared" si="19"/>
        <v>600000</v>
      </c>
      <c r="G303" s="106"/>
      <c r="H303" s="253"/>
      <c r="I303" s="117">
        <f t="shared" si="18"/>
        <v>0</v>
      </c>
    </row>
    <row r="304" spans="1:9">
      <c r="A304" s="251">
        <v>204</v>
      </c>
      <c r="B304" s="119">
        <v>19</v>
      </c>
      <c r="C304" s="255" t="s">
        <v>63</v>
      </c>
      <c r="D304" s="106">
        <f>0</f>
        <v>0</v>
      </c>
      <c r="E304" s="253">
        <v>1190000</v>
      </c>
      <c r="F304" s="117">
        <f t="shared" si="19"/>
        <v>1190000</v>
      </c>
      <c r="G304" s="106"/>
      <c r="H304" s="253"/>
      <c r="I304" s="117">
        <f t="shared" si="18"/>
        <v>0</v>
      </c>
    </row>
    <row r="305" spans="1:9">
      <c r="A305" s="251">
        <v>205</v>
      </c>
      <c r="B305" s="119">
        <v>20</v>
      </c>
      <c r="C305" s="254" t="s">
        <v>99</v>
      </c>
      <c r="D305" s="106">
        <f>0</f>
        <v>0</v>
      </c>
      <c r="E305" s="253">
        <v>400000</v>
      </c>
      <c r="F305" s="117">
        <f t="shared" si="19"/>
        <v>400000</v>
      </c>
      <c r="G305" s="106"/>
      <c r="H305" s="253"/>
      <c r="I305" s="117">
        <f t="shared" si="18"/>
        <v>0</v>
      </c>
    </row>
    <row r="306" spans="1:9">
      <c r="A306" s="251">
        <v>206</v>
      </c>
      <c r="B306" s="119">
        <v>21</v>
      </c>
      <c r="C306" s="254" t="s">
        <v>97</v>
      </c>
      <c r="D306" s="106">
        <f>0</f>
        <v>0</v>
      </c>
      <c r="E306" s="253">
        <v>500000</v>
      </c>
      <c r="F306" s="117">
        <f t="shared" si="19"/>
        <v>500000</v>
      </c>
      <c r="G306" s="106"/>
      <c r="H306" s="253"/>
      <c r="I306" s="117">
        <f t="shared" si="18"/>
        <v>0</v>
      </c>
    </row>
    <row r="307" spans="1:9">
      <c r="A307" s="251">
        <v>207</v>
      </c>
      <c r="B307" s="119">
        <v>22</v>
      </c>
      <c r="C307" s="252" t="s">
        <v>82</v>
      </c>
      <c r="D307" s="106">
        <f>0</f>
        <v>0</v>
      </c>
      <c r="E307" s="253">
        <v>1800000</v>
      </c>
      <c r="F307" s="117">
        <f t="shared" si="19"/>
        <v>1800000</v>
      </c>
      <c r="G307" s="106"/>
      <c r="H307" s="253"/>
      <c r="I307" s="117">
        <f t="shared" si="18"/>
        <v>0</v>
      </c>
    </row>
    <row r="308" spans="1:9">
      <c r="A308" s="251">
        <v>208</v>
      </c>
      <c r="B308" s="119">
        <v>23</v>
      </c>
      <c r="C308" s="254" t="s">
        <v>575</v>
      </c>
      <c r="D308" s="106">
        <f>0</f>
        <v>0</v>
      </c>
      <c r="E308" s="253">
        <v>2255000</v>
      </c>
      <c r="F308" s="117">
        <f t="shared" si="19"/>
        <v>2255000</v>
      </c>
      <c r="G308" s="106"/>
      <c r="H308" s="299"/>
      <c r="I308" s="117">
        <f t="shared" si="18"/>
        <v>0</v>
      </c>
    </row>
    <row r="309" spans="1:9">
      <c r="A309" s="251">
        <v>209</v>
      </c>
      <c r="B309" s="119">
        <v>24</v>
      </c>
      <c r="C309" s="300" t="s">
        <v>613</v>
      </c>
      <c r="D309" s="295"/>
      <c r="E309" s="301"/>
      <c r="F309" s="296"/>
      <c r="G309" s="295"/>
      <c r="H309" s="302">
        <v>376000</v>
      </c>
      <c r="I309" s="117">
        <f t="shared" si="18"/>
        <v>376000</v>
      </c>
    </row>
    <row r="310" spans="1:9" ht="15.75" thickBot="1">
      <c r="A310" s="137" t="s">
        <v>101</v>
      </c>
      <c r="B310" s="138"/>
      <c r="C310" s="139"/>
      <c r="D310" s="140">
        <f>SUM(D286:D308)</f>
        <v>0</v>
      </c>
      <c r="E310" s="140">
        <f>SUM(E286:E309)</f>
        <v>17136500</v>
      </c>
      <c r="F310" s="140">
        <f>SUM(D310:E310)</f>
        <v>17136500</v>
      </c>
      <c r="G310" s="140">
        <f>SUM(G286:G308)</f>
        <v>0</v>
      </c>
      <c r="H310" s="140">
        <f>SUM(H286:H309)</f>
        <v>14958000</v>
      </c>
      <c r="I310" s="140">
        <f>SUM(G310:H310)</f>
        <v>14958000</v>
      </c>
    </row>
    <row r="311" spans="1:9" ht="16.5" thickTop="1" thickBot="1">
      <c r="A311" s="141" t="s">
        <v>253</v>
      </c>
      <c r="B311" s="142"/>
      <c r="C311" s="142"/>
      <c r="D311" s="143">
        <f>D310+D284+D259+D255+D252+D197+D172+D150+D128+D125+D122+D116+D105+D89+D77+D74</f>
        <v>139212861</v>
      </c>
      <c r="E311" s="143">
        <f>E310+E284+E259+E255+E252+E197+E172+E150+E128+E125+E122+E116+E105+E89+E77+E74</f>
        <v>90653834</v>
      </c>
      <c r="F311" s="143">
        <f>SUM(D311:E311)</f>
        <v>229866695</v>
      </c>
      <c r="G311" s="143">
        <f>G310+G284+G259+G255+G252+G197+G172+G150+G128+G125+G122+G116+G105+G89+G77+G74</f>
        <v>126074999</v>
      </c>
      <c r="H311" s="143">
        <f>H310+H284+H259+H255+H252+H197+H172+H150+H128+H125+H122+H116+H105+H89+H77+H74</f>
        <v>59463214</v>
      </c>
      <c r="I311" s="143">
        <f>SUM(G311:H311)</f>
        <v>185538213</v>
      </c>
    </row>
    <row r="312" spans="1:9" ht="15.75" thickTop="1">
      <c r="A312" s="303"/>
      <c r="B312" s="303"/>
      <c r="C312" s="303"/>
      <c r="D312" s="304"/>
      <c r="E312" s="304"/>
      <c r="F312" s="304"/>
      <c r="G312" s="304"/>
      <c r="H312" s="304"/>
      <c r="I312" s="304"/>
    </row>
    <row r="313" spans="1:9">
      <c r="A313" s="303"/>
      <c r="B313" s="303"/>
      <c r="C313" s="303"/>
      <c r="D313" s="304"/>
      <c r="E313" s="304"/>
      <c r="F313" s="304"/>
      <c r="G313" s="304"/>
      <c r="H313" s="304"/>
      <c r="I313" s="304"/>
    </row>
    <row r="314" spans="1:9">
      <c r="A314" s="303"/>
      <c r="B314" s="303"/>
      <c r="C314" s="303"/>
      <c r="D314" s="304"/>
      <c r="E314" s="304"/>
      <c r="F314" s="304"/>
      <c r="G314" s="304"/>
      <c r="H314" s="304"/>
      <c r="I314" s="304"/>
    </row>
    <row r="315" spans="1:9">
      <c r="A315" s="146" t="s">
        <v>254</v>
      </c>
      <c r="B315" s="146"/>
      <c r="C315" s="146"/>
      <c r="D315" s="146"/>
      <c r="E315" s="146"/>
      <c r="F315" s="146"/>
      <c r="G315" s="146"/>
      <c r="H315" s="146"/>
      <c r="I315" s="146"/>
    </row>
    <row r="316" spans="1:9">
      <c r="A316" s="144"/>
      <c r="B316" s="147" t="s">
        <v>614</v>
      </c>
      <c r="C316" s="147"/>
      <c r="D316" s="147"/>
      <c r="E316" s="147"/>
      <c r="F316" s="147"/>
      <c r="G316" s="147"/>
      <c r="H316" s="147"/>
      <c r="I316" s="147"/>
    </row>
    <row r="317" spans="1:9">
      <c r="A317" s="148" t="s">
        <v>256</v>
      </c>
      <c r="B317" s="149" t="s">
        <v>23</v>
      </c>
      <c r="C317" s="150" t="s">
        <v>24</v>
      </c>
      <c r="D317" s="151"/>
      <c r="E317" s="151"/>
      <c r="F317" s="151"/>
      <c r="G317" s="151"/>
      <c r="H317" s="152"/>
      <c r="I317" s="153" t="s">
        <v>101</v>
      </c>
    </row>
    <row r="318" spans="1:9">
      <c r="A318" s="144"/>
      <c r="B318" s="154"/>
      <c r="C318" s="155"/>
      <c r="D318" s="156"/>
      <c r="E318" s="156"/>
      <c r="F318" s="156"/>
      <c r="G318" s="156"/>
      <c r="H318" s="157"/>
      <c r="I318" s="153" t="s">
        <v>257</v>
      </c>
    </row>
    <row r="319" spans="1:9">
      <c r="A319" s="144"/>
      <c r="B319" s="158"/>
      <c r="C319" s="159" t="s">
        <v>258</v>
      </c>
      <c r="D319" s="160"/>
      <c r="E319" s="160"/>
      <c r="F319" s="160"/>
      <c r="G319" s="160"/>
      <c r="H319" s="161"/>
      <c r="I319" s="162"/>
    </row>
    <row r="320" spans="1:9">
      <c r="A320" s="144"/>
      <c r="B320" s="163">
        <v>1</v>
      </c>
      <c r="C320" s="256" t="s">
        <v>615</v>
      </c>
      <c r="D320" s="175"/>
      <c r="E320" s="175"/>
      <c r="F320" s="175"/>
      <c r="G320" s="175"/>
      <c r="H320" s="239"/>
      <c r="I320" s="257"/>
    </row>
    <row r="321" spans="1:9">
      <c r="A321" s="144"/>
      <c r="B321" s="163"/>
      <c r="C321" s="256" t="s">
        <v>616</v>
      </c>
      <c r="D321" s="175"/>
      <c r="E321" s="175"/>
      <c r="F321" s="175"/>
      <c r="G321" s="175"/>
      <c r="H321" s="239"/>
      <c r="I321" s="257">
        <f>1000000</f>
        <v>1000000</v>
      </c>
    </row>
    <row r="322" spans="1:9">
      <c r="A322" s="144"/>
      <c r="B322" s="163"/>
      <c r="C322" s="256" t="s">
        <v>617</v>
      </c>
      <c r="D322" s="175"/>
      <c r="E322" s="175"/>
      <c r="F322" s="175"/>
      <c r="G322" s="175"/>
      <c r="H322" s="239"/>
      <c r="I322" s="257"/>
    </row>
    <row r="323" spans="1:9">
      <c r="A323" s="144"/>
      <c r="B323" s="163"/>
      <c r="C323" s="256" t="s">
        <v>618</v>
      </c>
      <c r="D323" s="175"/>
      <c r="E323" s="175"/>
      <c r="F323" s="175"/>
      <c r="G323" s="175"/>
      <c r="H323" s="239"/>
      <c r="I323" s="257">
        <f>1000000</f>
        <v>1000000</v>
      </c>
    </row>
    <row r="324" spans="1:9">
      <c r="A324" s="144"/>
      <c r="B324" s="163"/>
      <c r="C324" s="256" t="s">
        <v>619</v>
      </c>
      <c r="D324" s="175"/>
      <c r="E324" s="175"/>
      <c r="F324" s="175"/>
      <c r="G324" s="175"/>
      <c r="H324" s="239"/>
      <c r="I324" s="257"/>
    </row>
    <row r="325" spans="1:9">
      <c r="A325" s="144"/>
      <c r="B325" s="163">
        <v>2</v>
      </c>
      <c r="C325" s="256" t="s">
        <v>620</v>
      </c>
      <c r="D325" s="175"/>
      <c r="E325" s="175"/>
      <c r="F325" s="175"/>
      <c r="G325" s="175"/>
      <c r="H325" s="239"/>
      <c r="I325" s="257"/>
    </row>
    <row r="326" spans="1:9">
      <c r="A326" s="144"/>
      <c r="B326" s="163"/>
      <c r="C326" s="256" t="s">
        <v>621</v>
      </c>
      <c r="D326" s="175"/>
      <c r="E326" s="175"/>
      <c r="F326" s="175"/>
      <c r="G326" s="175"/>
      <c r="H326" s="239"/>
      <c r="I326" s="257">
        <f>500000</f>
        <v>500000</v>
      </c>
    </row>
    <row r="327" spans="1:9">
      <c r="A327" s="144"/>
      <c r="B327" s="163"/>
      <c r="C327" s="256" t="s">
        <v>622</v>
      </c>
      <c r="D327" s="175"/>
      <c r="E327" s="175"/>
      <c r="F327" s="175"/>
      <c r="G327" s="175"/>
      <c r="H327" s="239"/>
      <c r="I327" s="257">
        <f>500000</f>
        <v>500000</v>
      </c>
    </row>
    <row r="328" spans="1:9">
      <c r="A328" s="144"/>
      <c r="B328" s="163">
        <v>3</v>
      </c>
      <c r="C328" s="256" t="s">
        <v>578</v>
      </c>
      <c r="D328" s="175"/>
      <c r="E328" s="175"/>
      <c r="F328" s="175"/>
      <c r="G328" s="175"/>
      <c r="H328" s="239"/>
      <c r="I328" s="257">
        <f>603593</f>
        <v>603593</v>
      </c>
    </row>
    <row r="329" spans="1:9">
      <c r="A329" s="168"/>
      <c r="B329" s="169" t="s">
        <v>58</v>
      </c>
      <c r="C329" s="170"/>
      <c r="D329" s="170"/>
      <c r="E329" s="170"/>
      <c r="F329" s="170"/>
      <c r="G329" s="170"/>
      <c r="H329" s="171"/>
      <c r="I329" s="172">
        <f>SUM(I320:I328)</f>
        <v>3603593</v>
      </c>
    </row>
    <row r="330" spans="1:9">
      <c r="A330" s="145"/>
      <c r="B330" s="145"/>
      <c r="C330" s="145"/>
      <c r="D330" s="145"/>
      <c r="E330" s="145"/>
      <c r="F330" s="145"/>
      <c r="G330" s="145"/>
      <c r="H330" s="145"/>
      <c r="I330" s="145"/>
    </row>
    <row r="331" spans="1:9">
      <c r="A331" s="148" t="s">
        <v>260</v>
      </c>
      <c r="B331" s="149" t="s">
        <v>23</v>
      </c>
      <c r="C331" s="150" t="s">
        <v>24</v>
      </c>
      <c r="D331" s="151"/>
      <c r="E331" s="151"/>
      <c r="F331" s="151"/>
      <c r="G331" s="151"/>
      <c r="H331" s="152"/>
      <c r="I331" s="153" t="s">
        <v>101</v>
      </c>
    </row>
    <row r="332" spans="1:9">
      <c r="A332" s="145"/>
      <c r="B332" s="154"/>
      <c r="C332" s="155"/>
      <c r="D332" s="156"/>
      <c r="E332" s="156"/>
      <c r="F332" s="156"/>
      <c r="G332" s="156"/>
      <c r="H332" s="157"/>
      <c r="I332" s="153" t="s">
        <v>257</v>
      </c>
    </row>
    <row r="333" spans="1:9">
      <c r="A333" s="145"/>
      <c r="B333" s="158"/>
      <c r="C333" s="159" t="s">
        <v>261</v>
      </c>
      <c r="D333" s="160"/>
      <c r="E333" s="160"/>
      <c r="F333" s="160"/>
      <c r="G333" s="160"/>
      <c r="H333" s="161"/>
      <c r="I333" s="173"/>
    </row>
    <row r="334" spans="1:9">
      <c r="A334" s="145"/>
      <c r="B334" s="163">
        <v>1</v>
      </c>
      <c r="C334" s="176" t="s">
        <v>503</v>
      </c>
      <c r="D334" s="175"/>
      <c r="E334" s="175"/>
      <c r="F334" s="175"/>
      <c r="G334" s="175"/>
      <c r="H334" s="175"/>
      <c r="I334" s="173"/>
    </row>
    <row r="335" spans="1:9">
      <c r="A335" s="145"/>
      <c r="B335" s="163"/>
      <c r="C335" s="241" t="s">
        <v>579</v>
      </c>
      <c r="D335" s="177"/>
      <c r="E335" s="177"/>
      <c r="F335" s="177"/>
      <c r="G335" s="177"/>
      <c r="H335" s="177"/>
      <c r="I335" s="258">
        <f>6260000</f>
        <v>6260000</v>
      </c>
    </row>
    <row r="336" spans="1:9">
      <c r="A336" s="145"/>
      <c r="B336" s="158"/>
      <c r="C336" s="241" t="s">
        <v>580</v>
      </c>
      <c r="D336" s="177"/>
      <c r="E336" s="177"/>
      <c r="F336" s="177"/>
      <c r="G336" s="177"/>
      <c r="H336" s="177"/>
      <c r="I336" s="258">
        <f>166400</f>
        <v>166400</v>
      </c>
    </row>
    <row r="337" spans="1:9">
      <c r="A337" s="145"/>
      <c r="B337" s="163"/>
      <c r="C337" s="241" t="s">
        <v>581</v>
      </c>
      <c r="D337" s="177"/>
      <c r="E337" s="177"/>
      <c r="F337" s="177"/>
      <c r="G337" s="177"/>
      <c r="H337" s="177"/>
      <c r="I337" s="258">
        <f>341000</f>
        <v>341000</v>
      </c>
    </row>
    <row r="338" spans="1:9">
      <c r="A338" s="145"/>
      <c r="B338" s="158"/>
      <c r="C338" s="241" t="s">
        <v>582</v>
      </c>
      <c r="D338" s="177"/>
      <c r="E338" s="177"/>
      <c r="F338" s="177"/>
      <c r="G338" s="177"/>
      <c r="H338" s="177"/>
      <c r="I338" s="258">
        <f>2037907</f>
        <v>2037907</v>
      </c>
    </row>
    <row r="339" spans="1:9">
      <c r="A339" s="145"/>
      <c r="B339" s="158"/>
      <c r="C339" s="241" t="s">
        <v>623</v>
      </c>
      <c r="D339" s="177"/>
      <c r="E339" s="177"/>
      <c r="F339" s="177"/>
      <c r="G339" s="177"/>
      <c r="H339" s="177"/>
      <c r="I339" s="258">
        <f>993500</f>
        <v>993500</v>
      </c>
    </row>
    <row r="340" spans="1:9">
      <c r="A340" s="145"/>
      <c r="B340" s="163">
        <v>2</v>
      </c>
      <c r="C340" s="176" t="s">
        <v>624</v>
      </c>
      <c r="D340" s="177"/>
      <c r="E340" s="177"/>
      <c r="F340" s="177"/>
      <c r="G340" s="177"/>
      <c r="H340" s="177"/>
      <c r="I340" s="258">
        <f>32094500</f>
        <v>32094500</v>
      </c>
    </row>
    <row r="341" spans="1:9">
      <c r="A341" s="145"/>
      <c r="B341" s="158">
        <v>3</v>
      </c>
      <c r="C341" s="241" t="s">
        <v>625</v>
      </c>
      <c r="D341" s="177"/>
      <c r="E341" s="177"/>
      <c r="F341" s="177"/>
      <c r="G341" s="177"/>
      <c r="H341" s="177"/>
      <c r="I341" s="258"/>
    </row>
    <row r="342" spans="1:9">
      <c r="A342" s="145"/>
      <c r="B342" s="163"/>
      <c r="C342" s="241" t="s">
        <v>626</v>
      </c>
      <c r="D342" s="177"/>
      <c r="E342" s="177"/>
      <c r="F342" s="177"/>
      <c r="G342" s="177"/>
      <c r="H342" s="177"/>
      <c r="I342" s="258">
        <f>1000000</f>
        <v>1000000</v>
      </c>
    </row>
    <row r="343" spans="1:9">
      <c r="A343" s="145"/>
      <c r="B343" s="158"/>
      <c r="C343" s="241" t="s">
        <v>627</v>
      </c>
      <c r="D343" s="177"/>
      <c r="E343" s="177"/>
      <c r="F343" s="177"/>
      <c r="G343" s="177"/>
      <c r="H343" s="177"/>
      <c r="I343" s="258">
        <f>1000000</f>
        <v>1000000</v>
      </c>
    </row>
    <row r="344" spans="1:9">
      <c r="A344" s="145"/>
      <c r="B344" s="163">
        <v>4</v>
      </c>
      <c r="C344" s="259" t="s">
        <v>628</v>
      </c>
      <c r="D344" s="260"/>
      <c r="E344" s="260"/>
      <c r="F344" s="260"/>
      <c r="G344" s="260"/>
      <c r="H344" s="260"/>
      <c r="I344" s="258"/>
    </row>
    <row r="345" spans="1:9">
      <c r="A345" s="145"/>
      <c r="B345" s="163"/>
      <c r="C345" s="259" t="s">
        <v>629</v>
      </c>
      <c r="D345" s="260"/>
      <c r="E345" s="260"/>
      <c r="F345" s="260"/>
      <c r="G345" s="260"/>
      <c r="H345" s="260"/>
      <c r="I345" s="258">
        <f>500000</f>
        <v>500000</v>
      </c>
    </row>
    <row r="346" spans="1:9">
      <c r="A346" s="145"/>
      <c r="B346" s="163">
        <v>5</v>
      </c>
      <c r="C346" s="259" t="s">
        <v>630</v>
      </c>
      <c r="D346" s="260"/>
      <c r="E346" s="260"/>
      <c r="F346" s="260"/>
      <c r="G346" s="260"/>
      <c r="H346" s="260"/>
      <c r="I346" s="258">
        <f>350000</f>
        <v>350000</v>
      </c>
    </row>
    <row r="347" spans="1:9">
      <c r="A347" s="145"/>
      <c r="B347" s="163"/>
      <c r="C347" s="259" t="s">
        <v>631</v>
      </c>
      <c r="D347" s="260"/>
      <c r="E347" s="260"/>
      <c r="F347" s="260"/>
      <c r="G347" s="260"/>
      <c r="H347" s="260"/>
      <c r="I347" s="258">
        <f>100000</f>
        <v>100000</v>
      </c>
    </row>
    <row r="348" spans="1:9">
      <c r="A348" s="145"/>
      <c r="B348" s="163"/>
      <c r="C348" s="259" t="s">
        <v>632</v>
      </c>
      <c r="D348" s="260"/>
      <c r="E348" s="260"/>
      <c r="F348" s="260"/>
      <c r="G348" s="260"/>
      <c r="H348" s="260"/>
      <c r="I348" s="258">
        <f>200000</f>
        <v>200000</v>
      </c>
    </row>
    <row r="349" spans="1:9">
      <c r="A349" s="145"/>
      <c r="B349" s="163"/>
      <c r="C349" s="259" t="s">
        <v>633</v>
      </c>
      <c r="D349" s="260"/>
      <c r="E349" s="260"/>
      <c r="F349" s="260"/>
      <c r="G349" s="260"/>
      <c r="H349" s="260"/>
      <c r="I349" s="258">
        <f>100000</f>
        <v>100000</v>
      </c>
    </row>
    <row r="350" spans="1:9">
      <c r="A350" s="145"/>
      <c r="B350" s="163"/>
      <c r="C350" s="259" t="s">
        <v>634</v>
      </c>
      <c r="D350" s="260"/>
      <c r="E350" s="260"/>
      <c r="F350" s="260"/>
      <c r="G350" s="260"/>
      <c r="H350" s="260"/>
      <c r="I350" s="258">
        <f>200000</f>
        <v>200000</v>
      </c>
    </row>
    <row r="351" spans="1:9">
      <c r="A351" s="168"/>
      <c r="B351" s="178" t="s">
        <v>58</v>
      </c>
      <c r="C351" s="179"/>
      <c r="D351" s="179"/>
      <c r="E351" s="179"/>
      <c r="F351" s="179"/>
      <c r="G351" s="179"/>
      <c r="H351" s="179"/>
      <c r="I351" s="172">
        <f>SUM(I334:I350)</f>
        <v>45343307</v>
      </c>
    </row>
    <row r="352" spans="1:9">
      <c r="A352" s="144"/>
      <c r="B352" s="144"/>
      <c r="C352" s="144"/>
      <c r="D352" s="144"/>
      <c r="E352" s="144"/>
      <c r="F352" s="144"/>
      <c r="G352" s="144"/>
      <c r="H352" s="144"/>
      <c r="I352" s="144" t="s">
        <v>265</v>
      </c>
    </row>
    <row r="353" spans="1:8">
      <c r="A353" s="144"/>
      <c r="B353" s="144"/>
      <c r="C353" s="144"/>
      <c r="D353" s="180"/>
      <c r="G353" s="180" t="s">
        <v>635</v>
      </c>
      <c r="H353" s="180"/>
    </row>
    <row r="354" spans="1:8">
      <c r="A354" s="144"/>
      <c r="B354" s="144"/>
      <c r="C354" s="180" t="s">
        <v>42</v>
      </c>
      <c r="D354" s="181"/>
      <c r="G354" s="146" t="s">
        <v>560</v>
      </c>
      <c r="H354" s="146"/>
    </row>
    <row r="355" spans="1:8">
      <c r="A355" s="144"/>
      <c r="B355" s="144"/>
      <c r="C355" s="144"/>
      <c r="D355" s="182"/>
      <c r="G355" s="144"/>
      <c r="H355" s="144"/>
    </row>
    <row r="356" spans="1:8">
      <c r="A356" s="144"/>
      <c r="B356" s="183"/>
      <c r="C356" s="184" t="s">
        <v>344</v>
      </c>
      <c r="D356" s="184"/>
      <c r="E356" s="193"/>
      <c r="F356" s="193"/>
      <c r="G356" s="261" t="s">
        <v>344</v>
      </c>
      <c r="H356" s="261"/>
    </row>
    <row r="357" spans="1:8">
      <c r="A357" s="144"/>
      <c r="B357" s="183"/>
      <c r="C357" s="180" t="s">
        <v>268</v>
      </c>
      <c r="D357" s="144"/>
      <c r="G357" s="305" t="s">
        <v>596</v>
      </c>
      <c r="H357" s="305"/>
    </row>
  </sheetData>
  <mergeCells count="70">
    <mergeCell ref="C333:H333"/>
    <mergeCell ref="B351:H351"/>
    <mergeCell ref="G354:H354"/>
    <mergeCell ref="G356:H356"/>
    <mergeCell ref="G357:H357"/>
    <mergeCell ref="B316:I316"/>
    <mergeCell ref="B317:B318"/>
    <mergeCell ref="C317:H318"/>
    <mergeCell ref="C319:H319"/>
    <mergeCell ref="B329:H329"/>
    <mergeCell ref="B331:B332"/>
    <mergeCell ref="C331:H332"/>
    <mergeCell ref="A260:I260"/>
    <mergeCell ref="A284:C284"/>
    <mergeCell ref="A285:I285"/>
    <mergeCell ref="A310:C310"/>
    <mergeCell ref="A311:C311"/>
    <mergeCell ref="A315:I315"/>
    <mergeCell ref="A198:I198"/>
    <mergeCell ref="A252:C252"/>
    <mergeCell ref="A253:I253"/>
    <mergeCell ref="A255:C255"/>
    <mergeCell ref="A256:I256"/>
    <mergeCell ref="A259:C259"/>
    <mergeCell ref="A129:I129"/>
    <mergeCell ref="A150:C150"/>
    <mergeCell ref="A151:I151"/>
    <mergeCell ref="A172:C172"/>
    <mergeCell ref="A173:I173"/>
    <mergeCell ref="A197:C197"/>
    <mergeCell ref="A117:I117"/>
    <mergeCell ref="A122:C122"/>
    <mergeCell ref="A123:I123"/>
    <mergeCell ref="A125:C125"/>
    <mergeCell ref="A126:I126"/>
    <mergeCell ref="A128:C128"/>
    <mergeCell ref="A78:I78"/>
    <mergeCell ref="A89:C89"/>
    <mergeCell ref="A90:I90"/>
    <mergeCell ref="A105:C105"/>
    <mergeCell ref="A106:I106"/>
    <mergeCell ref="A116:C116"/>
    <mergeCell ref="D69:E69"/>
    <mergeCell ref="G69:H69"/>
    <mergeCell ref="A71:I71"/>
    <mergeCell ref="A74:C74"/>
    <mergeCell ref="A75:I75"/>
    <mergeCell ref="A77:C77"/>
    <mergeCell ref="E55:F55"/>
    <mergeCell ref="A64:I64"/>
    <mergeCell ref="A65:I65"/>
    <mergeCell ref="A66:I66"/>
    <mergeCell ref="A68:A70"/>
    <mergeCell ref="B68:C70"/>
    <mergeCell ref="D68:E68"/>
    <mergeCell ref="F68:F70"/>
    <mergeCell ref="G68:H68"/>
    <mergeCell ref="I68:I70"/>
    <mergeCell ref="A8:B8"/>
    <mergeCell ref="A9:B9"/>
    <mergeCell ref="A10:B10"/>
    <mergeCell ref="E24:F24"/>
    <mergeCell ref="E52:F52"/>
    <mergeCell ref="E54:F54"/>
    <mergeCell ref="B1:F1"/>
    <mergeCell ref="A2:F2"/>
    <mergeCell ref="A3:F3"/>
    <mergeCell ref="A4:F4"/>
    <mergeCell ref="A5:F5"/>
    <mergeCell ref="E7:F7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8"/>
  <sheetViews>
    <sheetView topLeftCell="A59" workbookViewId="0">
      <selection activeCell="A74" sqref="A74:C74"/>
    </sheetView>
  </sheetViews>
  <sheetFormatPr defaultRowHeight="15"/>
  <cols>
    <col min="1" max="1" width="5.5703125" customWidth="1"/>
    <col min="2" max="2" width="5.7109375" customWidth="1"/>
    <col min="3" max="3" width="36.140625" customWidth="1"/>
    <col min="4" max="4" width="18.7109375" customWidth="1"/>
    <col min="5" max="5" width="20" customWidth="1"/>
    <col min="6" max="6" width="18.7109375" customWidth="1"/>
    <col min="7" max="8" width="13.7109375" customWidth="1"/>
    <col min="9" max="9" width="14.42578125" customWidth="1"/>
  </cols>
  <sheetData>
    <row r="1" spans="1:6" ht="30">
      <c r="B1" s="208" t="s">
        <v>0</v>
      </c>
      <c r="C1" s="208"/>
      <c r="D1" s="208"/>
      <c r="E1" s="208"/>
      <c r="F1" s="208"/>
    </row>
    <row r="2" spans="1:6" ht="30">
      <c r="B2" s="208" t="s">
        <v>636</v>
      </c>
      <c r="C2" s="208"/>
      <c r="D2" s="208"/>
      <c r="E2" s="208"/>
      <c r="F2" s="208"/>
    </row>
    <row r="3" spans="1:6" ht="30">
      <c r="B3" s="208" t="s">
        <v>637</v>
      </c>
      <c r="C3" s="208"/>
      <c r="D3" s="208"/>
      <c r="E3" s="208"/>
      <c r="F3" s="208"/>
    </row>
    <row r="4" spans="1:6">
      <c r="A4" s="3" t="s">
        <v>3</v>
      </c>
      <c r="B4" s="3"/>
      <c r="C4" s="3"/>
      <c r="D4" s="3"/>
      <c r="E4" s="3"/>
      <c r="F4" s="3"/>
    </row>
    <row r="5" spans="1:6" ht="15.75" thickBot="1">
      <c r="A5" s="209" t="s">
        <v>4</v>
      </c>
      <c r="B5" s="209"/>
      <c r="C5" s="209"/>
      <c r="D5" s="209"/>
      <c r="E5" s="209"/>
      <c r="F5" s="209"/>
    </row>
    <row r="6" spans="1:6" ht="15.75" thickTop="1">
      <c r="A6" s="5"/>
      <c r="B6" s="5"/>
      <c r="C6" s="5"/>
      <c r="D6" s="5"/>
      <c r="E6" s="5"/>
      <c r="F6" s="5"/>
    </row>
    <row r="7" spans="1:6" ht="18.75">
      <c r="A7" s="6"/>
      <c r="B7" s="6"/>
      <c r="C7" s="6"/>
      <c r="D7" s="6"/>
      <c r="E7" s="7" t="s">
        <v>638</v>
      </c>
      <c r="F7" s="7"/>
    </row>
    <row r="8" spans="1:6" ht="18.75">
      <c r="A8" s="8" t="s">
        <v>6</v>
      </c>
      <c r="B8" s="8"/>
      <c r="C8" s="9" t="s">
        <v>639</v>
      </c>
      <c r="D8" s="10"/>
      <c r="E8" s="9"/>
      <c r="F8" s="10"/>
    </row>
    <row r="9" spans="1:6" ht="18.75">
      <c r="A9" s="8" t="s">
        <v>8</v>
      </c>
      <c r="B9" s="8"/>
      <c r="C9" s="9" t="s">
        <v>9</v>
      </c>
      <c r="D9" s="10"/>
      <c r="E9" s="9"/>
      <c r="F9" s="9"/>
    </row>
    <row r="10" spans="1:6" ht="18.75">
      <c r="A10" s="8" t="s">
        <v>10</v>
      </c>
      <c r="B10" s="8"/>
      <c r="C10" s="9" t="s">
        <v>11</v>
      </c>
      <c r="D10" s="10"/>
      <c r="E10" s="9"/>
      <c r="F10" s="9"/>
    </row>
    <row r="11" spans="1:6" ht="18.75">
      <c r="A11" s="9"/>
      <c r="B11" s="9"/>
      <c r="C11" s="9"/>
      <c r="D11" s="9"/>
      <c r="E11" s="9"/>
      <c r="F11" s="9"/>
    </row>
    <row r="12" spans="1:6" ht="18.75">
      <c r="A12" s="9"/>
      <c r="B12" s="9" t="s">
        <v>12</v>
      </c>
      <c r="C12" s="10"/>
      <c r="D12" s="10"/>
      <c r="E12" s="9"/>
      <c r="F12" s="9"/>
    </row>
    <row r="13" spans="1:6" ht="18.75">
      <c r="A13" s="9"/>
      <c r="B13" s="9" t="s">
        <v>13</v>
      </c>
      <c r="C13" s="10"/>
      <c r="D13" s="10"/>
      <c r="E13" s="9"/>
      <c r="F13" s="9"/>
    </row>
    <row r="14" spans="1:6" ht="18.75">
      <c r="A14" s="9"/>
      <c r="B14" s="9" t="s">
        <v>14</v>
      </c>
      <c r="C14" s="10"/>
      <c r="D14" s="10"/>
      <c r="E14" s="9"/>
      <c r="F14" s="9"/>
    </row>
    <row r="15" spans="1:6" ht="18.75">
      <c r="A15" s="9"/>
      <c r="B15" s="9" t="s">
        <v>15</v>
      </c>
      <c r="C15" s="10"/>
      <c r="D15" s="10"/>
      <c r="E15" s="9"/>
      <c r="F15" s="9"/>
    </row>
    <row r="16" spans="1:6" ht="18.75">
      <c r="A16" s="9"/>
      <c r="B16" s="9" t="s">
        <v>16</v>
      </c>
      <c r="C16" s="10"/>
      <c r="D16" s="10"/>
      <c r="E16" s="9"/>
      <c r="F16" s="9"/>
    </row>
    <row r="17" spans="1:6" ht="18.75">
      <c r="A17" s="9"/>
      <c r="B17" s="9" t="s">
        <v>17</v>
      </c>
      <c r="C17" s="9"/>
      <c r="D17" s="10"/>
      <c r="E17" s="9"/>
      <c r="F17" s="9"/>
    </row>
    <row r="18" spans="1:6" ht="18.75">
      <c r="A18" s="9"/>
      <c r="B18" s="9" t="s">
        <v>512</v>
      </c>
      <c r="C18" s="9"/>
      <c r="D18" s="10"/>
      <c r="E18" s="9"/>
      <c r="F18" s="10"/>
    </row>
    <row r="19" spans="1:6" ht="18.75">
      <c r="A19" s="9"/>
      <c r="B19" s="9" t="s">
        <v>18</v>
      </c>
      <c r="C19" s="9"/>
      <c r="D19" s="10"/>
      <c r="E19" s="9"/>
      <c r="F19" s="9"/>
    </row>
    <row r="20" spans="1:6" ht="18.75">
      <c r="A20" s="9"/>
      <c r="B20" s="10"/>
      <c r="C20" s="9"/>
      <c r="D20" s="9"/>
      <c r="E20" s="9"/>
      <c r="F20" s="9"/>
    </row>
    <row r="21" spans="1:6" ht="19.5">
      <c r="A21" s="9"/>
      <c r="C21" s="11" t="s">
        <v>19</v>
      </c>
      <c r="D21" s="12"/>
      <c r="E21" s="9"/>
      <c r="F21" s="10"/>
    </row>
    <row r="22" spans="1:6" ht="18.75">
      <c r="B22" s="13" t="s">
        <v>640</v>
      </c>
      <c r="C22" s="13"/>
      <c r="D22" s="13"/>
      <c r="E22" s="13"/>
      <c r="F22" s="10"/>
    </row>
    <row r="23" spans="1:6" ht="18.75">
      <c r="B23" s="13" t="s">
        <v>641</v>
      </c>
      <c r="C23" s="13"/>
      <c r="D23" s="13"/>
      <c r="E23" s="13"/>
      <c r="F23" s="10"/>
    </row>
    <row r="24" spans="1:6" ht="15.75">
      <c r="A24" s="14"/>
      <c r="B24" s="14"/>
      <c r="C24" s="14"/>
      <c r="D24" s="14"/>
      <c r="E24" s="15" t="s">
        <v>22</v>
      </c>
      <c r="F24" s="15"/>
    </row>
    <row r="25" spans="1:6" ht="15.75">
      <c r="A25" s="14"/>
      <c r="B25" s="306" t="s">
        <v>23</v>
      </c>
      <c r="C25" s="306" t="s">
        <v>24</v>
      </c>
      <c r="D25" s="307" t="s">
        <v>25</v>
      </c>
      <c r="E25" s="307" t="s">
        <v>26</v>
      </c>
      <c r="F25" s="307" t="s">
        <v>27</v>
      </c>
    </row>
    <row r="26" spans="1:6" ht="15.75">
      <c r="A26" s="14"/>
      <c r="B26" s="308"/>
      <c r="C26" s="308"/>
      <c r="D26" s="309"/>
      <c r="E26" s="309"/>
      <c r="F26" s="309"/>
    </row>
    <row r="27" spans="1:6" ht="15.75">
      <c r="A27" s="14"/>
      <c r="B27" s="20">
        <v>1</v>
      </c>
      <c r="C27" s="21" t="s">
        <v>28</v>
      </c>
      <c r="D27" s="22"/>
      <c r="E27" s="22"/>
      <c r="F27" s="23"/>
    </row>
    <row r="28" spans="1:6" ht="15.75">
      <c r="A28" s="14"/>
      <c r="B28" s="20"/>
      <c r="C28" s="21" t="s">
        <v>29</v>
      </c>
      <c r="D28" s="22"/>
      <c r="E28" s="22"/>
      <c r="F28" s="23"/>
    </row>
    <row r="29" spans="1:6" ht="15.75">
      <c r="A29" s="14"/>
      <c r="B29" s="24"/>
      <c r="C29" s="25" t="s">
        <v>642</v>
      </c>
      <c r="D29" s="276"/>
      <c r="E29" s="276"/>
      <c r="F29" s="27">
        <f>[9]OKTOBER!F28</f>
        <v>1839917065</v>
      </c>
    </row>
    <row r="30" spans="1:6" ht="15.75">
      <c r="A30" s="14"/>
      <c r="B30" s="24"/>
      <c r="C30" s="25" t="s">
        <v>643</v>
      </c>
      <c r="D30" s="277">
        <v>126642830</v>
      </c>
      <c r="E30" s="278"/>
      <c r="F30" s="276"/>
    </row>
    <row r="31" spans="1:6" ht="15.75">
      <c r="A31" s="14"/>
      <c r="B31" s="24"/>
      <c r="C31" s="25" t="s">
        <v>644</v>
      </c>
      <c r="D31" s="276"/>
      <c r="E31" s="279">
        <f>24755000</f>
        <v>24755000</v>
      </c>
      <c r="F31" s="276"/>
    </row>
    <row r="32" spans="1:6" ht="15.75">
      <c r="A32" s="14"/>
      <c r="B32" s="24"/>
      <c r="C32" s="30" t="s">
        <v>33</v>
      </c>
      <c r="D32" s="276"/>
      <c r="E32" s="279"/>
      <c r="F32" s="27">
        <f>F29+D30-E31</f>
        <v>1941804895</v>
      </c>
    </row>
    <row r="33" spans="1:6" ht="15.75">
      <c r="A33" s="14"/>
      <c r="B33" s="20"/>
      <c r="C33" s="32" t="s">
        <v>34</v>
      </c>
      <c r="D33" s="280"/>
      <c r="E33" s="280"/>
      <c r="F33" s="281"/>
    </row>
    <row r="34" spans="1:6" ht="15.75">
      <c r="A34" s="14"/>
      <c r="B34" s="24"/>
      <c r="C34" s="35" t="s">
        <v>642</v>
      </c>
      <c r="D34" s="279"/>
      <c r="E34" s="282"/>
      <c r="F34" s="279">
        <f>[9]OKTOBER!F33</f>
        <v>2675000</v>
      </c>
    </row>
    <row r="35" spans="1:6" ht="15.75">
      <c r="A35" s="14"/>
      <c r="B35" s="24"/>
      <c r="C35" s="25" t="s">
        <v>643</v>
      </c>
      <c r="D35" s="283">
        <f>0</f>
        <v>0</v>
      </c>
      <c r="E35" s="282"/>
      <c r="F35" s="283"/>
    </row>
    <row r="36" spans="1:6" ht="15.75">
      <c r="A36" s="14"/>
      <c r="B36" s="24"/>
      <c r="C36" s="25" t="s">
        <v>644</v>
      </c>
      <c r="D36" s="279"/>
      <c r="E36" s="282">
        <f>0</f>
        <v>0</v>
      </c>
      <c r="F36" s="283"/>
    </row>
    <row r="37" spans="1:6" ht="15.75">
      <c r="A37" s="14"/>
      <c r="B37" s="24"/>
      <c r="C37" s="30" t="s">
        <v>33</v>
      </c>
      <c r="D37" s="284"/>
      <c r="E37" s="284"/>
      <c r="F37" s="27">
        <f>F34+D35-E36</f>
        <v>2675000</v>
      </c>
    </row>
    <row r="38" spans="1:6" ht="15.75">
      <c r="A38" s="14"/>
      <c r="B38" s="24"/>
      <c r="C38" s="30" t="s">
        <v>35</v>
      </c>
      <c r="D38" s="27">
        <f>D30+D35</f>
        <v>126642830</v>
      </c>
      <c r="E38" s="51">
        <f>E31+E36</f>
        <v>24755000</v>
      </c>
      <c r="F38" s="285">
        <f>F32+F37</f>
        <v>1944479895</v>
      </c>
    </row>
    <row r="39" spans="1:6" ht="15.75">
      <c r="A39" s="14"/>
      <c r="B39" s="20">
        <v>2</v>
      </c>
      <c r="C39" s="32" t="s">
        <v>36</v>
      </c>
      <c r="D39" s="280"/>
      <c r="E39" s="286"/>
      <c r="F39" s="287"/>
    </row>
    <row r="40" spans="1:6" ht="15.75">
      <c r="A40" s="14"/>
      <c r="B40" s="20"/>
      <c r="C40" s="32" t="s">
        <v>29</v>
      </c>
      <c r="D40" s="280"/>
      <c r="E40" s="286"/>
      <c r="F40" s="287"/>
    </row>
    <row r="41" spans="1:6" ht="15.75">
      <c r="A41" s="43"/>
      <c r="B41" s="24"/>
      <c r="C41" s="35" t="s">
        <v>642</v>
      </c>
      <c r="D41" s="276"/>
      <c r="E41" s="288"/>
      <c r="F41" s="51">
        <f>[9]OKTOBER!F40</f>
        <v>1145632119</v>
      </c>
    </row>
    <row r="42" spans="1:6" ht="15.75">
      <c r="A42" s="45"/>
      <c r="B42" s="24"/>
      <c r="C42" s="25" t="s">
        <v>643</v>
      </c>
      <c r="D42" s="289">
        <v>53703734</v>
      </c>
      <c r="E42" s="290"/>
      <c r="F42" s="288"/>
    </row>
    <row r="43" spans="1:6" ht="15.75">
      <c r="A43" s="14"/>
      <c r="B43" s="24"/>
      <c r="C43" s="25" t="s">
        <v>644</v>
      </c>
      <c r="D43" s="278"/>
      <c r="E43" s="291">
        <f>99760460</f>
        <v>99760460</v>
      </c>
      <c r="F43" s="288"/>
    </row>
    <row r="44" spans="1:6" ht="15.75">
      <c r="A44" s="14"/>
      <c r="B44" s="20"/>
      <c r="C44" s="30" t="s">
        <v>37</v>
      </c>
      <c r="D44" s="284"/>
      <c r="E44" s="292"/>
      <c r="F44" s="51">
        <f>F41+D42-E43</f>
        <v>1099575393</v>
      </c>
    </row>
    <row r="45" spans="1:6" ht="15.75">
      <c r="A45" s="14"/>
      <c r="B45" s="24"/>
      <c r="C45" s="52" t="s">
        <v>645</v>
      </c>
      <c r="D45" s="53">
        <f>D30+D42</f>
        <v>180346564</v>
      </c>
      <c r="E45" s="53">
        <f>E31+E43</f>
        <v>124515460</v>
      </c>
      <c r="F45" s="31">
        <f>F38+F44</f>
        <v>3044055288</v>
      </c>
    </row>
    <row r="46" spans="1:6" ht="15.75">
      <c r="B46" s="54" t="s">
        <v>340</v>
      </c>
      <c r="C46" s="54"/>
      <c r="D46" s="54"/>
      <c r="E46" s="54"/>
      <c r="F46" s="54"/>
    </row>
    <row r="47" spans="1:6" ht="18.75">
      <c r="A47" s="55"/>
      <c r="B47" s="201" t="s">
        <v>341</v>
      </c>
      <c r="C47" s="10"/>
      <c r="D47" s="57"/>
      <c r="E47" s="10"/>
      <c r="F47" s="58"/>
    </row>
    <row r="48" spans="1:6" ht="18.75">
      <c r="A48" s="55"/>
      <c r="B48" s="201" t="s">
        <v>342</v>
      </c>
      <c r="C48" s="10"/>
      <c r="D48" s="57"/>
      <c r="E48" s="10"/>
      <c r="F48" s="58"/>
    </row>
    <row r="49" spans="1:9" ht="18.75">
      <c r="A49" s="55"/>
      <c r="B49" s="201" t="s">
        <v>343</v>
      </c>
      <c r="C49" s="10"/>
      <c r="D49" s="57"/>
      <c r="E49" s="10"/>
      <c r="F49" s="58"/>
    </row>
    <row r="50" spans="1:9" ht="18.75">
      <c r="A50" s="14"/>
      <c r="B50" s="59"/>
      <c r="C50" s="60" t="s">
        <v>40</v>
      </c>
      <c r="D50" s="61"/>
      <c r="E50" s="60"/>
      <c r="F50" s="58"/>
    </row>
    <row r="51" spans="1:9" ht="19.5">
      <c r="A51" s="62"/>
      <c r="B51" s="59"/>
      <c r="C51" s="63" t="s">
        <v>41</v>
      </c>
      <c r="D51" s="64"/>
      <c r="E51" s="65"/>
      <c r="F51" s="66"/>
    </row>
    <row r="52" spans="1:9" ht="18.75">
      <c r="A52" s="62"/>
      <c r="B52" s="62"/>
      <c r="C52" s="67" t="s">
        <v>42</v>
      </c>
      <c r="D52" s="10"/>
      <c r="E52" s="68" t="s">
        <v>560</v>
      </c>
      <c r="F52" s="68"/>
    </row>
    <row r="53" spans="1:9" ht="18.75">
      <c r="A53" s="62"/>
      <c r="B53" s="62"/>
      <c r="C53" s="67"/>
      <c r="D53" s="10"/>
      <c r="E53" s="69"/>
      <c r="F53" s="69"/>
    </row>
    <row r="54" spans="1:9" ht="18.75">
      <c r="A54" s="62"/>
      <c r="B54" s="62"/>
      <c r="C54" s="70" t="s">
        <v>344</v>
      </c>
      <c r="D54" s="71"/>
      <c r="E54" s="72" t="s">
        <v>344</v>
      </c>
      <c r="F54" s="72"/>
    </row>
    <row r="55" spans="1:9" ht="18.75">
      <c r="A55" s="62"/>
      <c r="B55" s="62"/>
      <c r="C55" s="73" t="s">
        <v>45</v>
      </c>
      <c r="D55" s="74"/>
      <c r="E55" s="75" t="s">
        <v>561</v>
      </c>
      <c r="F55" s="75"/>
    </row>
    <row r="56" spans="1:9" ht="18.75">
      <c r="A56" s="59"/>
      <c r="B56" s="76" t="s">
        <v>47</v>
      </c>
      <c r="C56" s="9"/>
      <c r="D56" s="77"/>
      <c r="E56" s="62"/>
      <c r="F56" s="62"/>
    </row>
    <row r="57" spans="1:9" ht="18.75">
      <c r="A57" s="59"/>
      <c r="B57" s="9" t="s">
        <v>48</v>
      </c>
      <c r="C57" s="9"/>
      <c r="D57" s="78"/>
      <c r="E57" s="62"/>
      <c r="F57" s="62"/>
    </row>
    <row r="58" spans="1:9" ht="18.75">
      <c r="A58" s="59"/>
      <c r="B58" s="9" t="s">
        <v>49</v>
      </c>
      <c r="C58" s="9"/>
      <c r="D58" s="14"/>
      <c r="E58" s="62"/>
      <c r="F58" s="62"/>
    </row>
    <row r="59" spans="1:9" ht="18.75">
      <c r="A59" s="59"/>
      <c r="B59" s="9" t="s">
        <v>50</v>
      </c>
      <c r="C59" s="9"/>
      <c r="D59" s="14"/>
      <c r="E59" s="62"/>
      <c r="F59" s="62"/>
    </row>
    <row r="60" spans="1:9" ht="18.75">
      <c r="A60" s="59"/>
      <c r="B60" s="9" t="s">
        <v>51</v>
      </c>
      <c r="C60" s="9"/>
      <c r="D60" s="14"/>
      <c r="E60" s="62"/>
      <c r="F60" s="62"/>
    </row>
    <row r="63" spans="1:9" ht="15.75">
      <c r="A63" s="230" t="s">
        <v>52</v>
      </c>
    </row>
    <row r="64" spans="1:9" ht="22.5">
      <c r="A64" s="81" t="s">
        <v>53</v>
      </c>
      <c r="B64" s="81"/>
      <c r="C64" s="81"/>
      <c r="D64" s="81"/>
      <c r="E64" s="81"/>
      <c r="F64" s="81"/>
      <c r="G64" s="81"/>
      <c r="H64" s="81"/>
      <c r="I64" s="81"/>
    </row>
    <row r="65" spans="1:9" ht="22.5">
      <c r="A65" s="81" t="s">
        <v>54</v>
      </c>
      <c r="B65" s="81"/>
      <c r="C65" s="81"/>
      <c r="D65" s="81"/>
      <c r="E65" s="81"/>
      <c r="F65" s="81"/>
      <c r="G65" s="81"/>
      <c r="H65" s="81"/>
      <c r="I65" s="81"/>
    </row>
    <row r="66" spans="1:9" ht="20.25">
      <c r="A66" s="82" t="s">
        <v>646</v>
      </c>
      <c r="B66" s="82"/>
      <c r="C66" s="82"/>
      <c r="D66" s="82"/>
      <c r="E66" s="82"/>
      <c r="F66" s="82"/>
      <c r="G66" s="82"/>
      <c r="H66" s="82"/>
      <c r="I66" s="82"/>
    </row>
    <row r="67" spans="1:9" ht="15.75" thickBot="1">
      <c r="A67" s="83"/>
      <c r="B67" s="83"/>
      <c r="C67" s="83"/>
      <c r="D67" s="83"/>
      <c r="E67" s="83"/>
      <c r="F67" s="83"/>
      <c r="G67" s="83"/>
      <c r="H67" s="83"/>
      <c r="I67" s="83"/>
    </row>
    <row r="68" spans="1:9" ht="15.75" thickTop="1">
      <c r="A68" s="84" t="s">
        <v>23</v>
      </c>
      <c r="B68" s="85" t="s">
        <v>56</v>
      </c>
      <c r="C68" s="86"/>
      <c r="D68" s="211" t="s">
        <v>57</v>
      </c>
      <c r="E68" s="212"/>
      <c r="F68" s="89" t="s">
        <v>58</v>
      </c>
      <c r="G68" s="211" t="s">
        <v>57</v>
      </c>
      <c r="H68" s="212"/>
      <c r="I68" s="89" t="s">
        <v>58</v>
      </c>
    </row>
    <row r="69" spans="1:9">
      <c r="A69" s="90"/>
      <c r="B69" s="91"/>
      <c r="C69" s="92"/>
      <c r="D69" s="214" t="s">
        <v>607</v>
      </c>
      <c r="E69" s="215"/>
      <c r="F69" s="95"/>
      <c r="G69" s="214" t="s">
        <v>647</v>
      </c>
      <c r="H69" s="215"/>
      <c r="I69" s="95"/>
    </row>
    <row r="70" spans="1:9">
      <c r="A70" s="96"/>
      <c r="B70" s="97"/>
      <c r="C70" s="98"/>
      <c r="D70" s="217" t="s">
        <v>28</v>
      </c>
      <c r="E70" s="217" t="s">
        <v>61</v>
      </c>
      <c r="F70" s="100"/>
      <c r="G70" s="217" t="s">
        <v>28</v>
      </c>
      <c r="H70" s="217" t="s">
        <v>61</v>
      </c>
      <c r="I70" s="100"/>
    </row>
    <row r="71" spans="1:9">
      <c r="A71" s="232" t="s">
        <v>520</v>
      </c>
      <c r="B71" s="233"/>
      <c r="C71" s="233"/>
      <c r="D71" s="233"/>
      <c r="E71" s="233"/>
      <c r="F71" s="233"/>
      <c r="G71" s="233"/>
      <c r="H71" s="233"/>
      <c r="I71" s="234"/>
    </row>
    <row r="72" spans="1:9">
      <c r="A72" s="235">
        <v>1</v>
      </c>
      <c r="B72" s="235">
        <v>1</v>
      </c>
      <c r="C72" s="236" t="s">
        <v>521</v>
      </c>
      <c r="D72" s="106"/>
      <c r="E72" s="106">
        <v>1000000</v>
      </c>
      <c r="F72" s="117">
        <f>SUM(D72:E72)</f>
        <v>1000000</v>
      </c>
      <c r="G72" s="106"/>
      <c r="H72" s="106">
        <f>3000000+5000000</f>
        <v>8000000</v>
      </c>
      <c r="I72" s="117">
        <f>SUM(G72:H72)</f>
        <v>8000000</v>
      </c>
    </row>
    <row r="73" spans="1:9">
      <c r="A73" s="235">
        <v>2</v>
      </c>
      <c r="B73" s="235">
        <v>2</v>
      </c>
      <c r="C73" s="236" t="s">
        <v>608</v>
      </c>
      <c r="D73" s="106"/>
      <c r="E73" s="106"/>
      <c r="F73" s="117">
        <f>SUM(D73:E73)</f>
        <v>0</v>
      </c>
      <c r="G73" s="106"/>
      <c r="H73" s="106"/>
      <c r="I73" s="117">
        <f>SUM(G73:H73)</f>
        <v>0</v>
      </c>
    </row>
    <row r="74" spans="1:9">
      <c r="A74" s="108" t="s">
        <v>58</v>
      </c>
      <c r="B74" s="109"/>
      <c r="C74" s="109"/>
      <c r="D74" s="110">
        <f>SUM(D72:D73)</f>
        <v>0</v>
      </c>
      <c r="E74" s="111">
        <f>SUM(E72:E73)</f>
        <v>1000000</v>
      </c>
      <c r="F74" s="110">
        <f>SUM(D74:E74)</f>
        <v>1000000</v>
      </c>
      <c r="G74" s="110">
        <f>SUM(G72:G73)</f>
        <v>0</v>
      </c>
      <c r="H74" s="111">
        <f>SUM(H72:H73)</f>
        <v>8000000</v>
      </c>
      <c r="I74" s="110">
        <f>SUM(G74:H74)</f>
        <v>8000000</v>
      </c>
    </row>
    <row r="75" spans="1:9">
      <c r="A75" s="101" t="s">
        <v>62</v>
      </c>
      <c r="B75" s="102"/>
      <c r="C75" s="102"/>
      <c r="D75" s="102"/>
      <c r="E75" s="102"/>
      <c r="F75" s="102"/>
      <c r="G75" s="102"/>
      <c r="H75" s="102"/>
      <c r="I75" s="103"/>
    </row>
    <row r="76" spans="1:9">
      <c r="A76" s="104">
        <v>3</v>
      </c>
      <c r="B76" s="104">
        <v>1</v>
      </c>
      <c r="C76" s="105" t="s">
        <v>63</v>
      </c>
      <c r="D76" s="106"/>
      <c r="E76" s="106"/>
      <c r="F76" s="117">
        <f>SUM(D76:E76)</f>
        <v>0</v>
      </c>
      <c r="G76" s="106">
        <v>1861100</v>
      </c>
      <c r="H76" s="106"/>
      <c r="I76" s="117">
        <f>SUM(G76:H76)</f>
        <v>1861100</v>
      </c>
    </row>
    <row r="77" spans="1:9">
      <c r="A77" s="108" t="s">
        <v>58</v>
      </c>
      <c r="B77" s="109"/>
      <c r="C77" s="109"/>
      <c r="D77" s="110">
        <f>SUM(D75:D76)</f>
        <v>0</v>
      </c>
      <c r="E77" s="111">
        <f>SUM(E75:E76)</f>
        <v>0</v>
      </c>
      <c r="F77" s="110">
        <f>SUM(D77:E77)</f>
        <v>0</v>
      </c>
      <c r="G77" s="110">
        <f>SUM(G75:G76)</f>
        <v>1861100</v>
      </c>
      <c r="H77" s="111">
        <f>SUM(H75:H76)</f>
        <v>0</v>
      </c>
      <c r="I77" s="110">
        <f>SUM(G77:H77)</f>
        <v>1861100</v>
      </c>
    </row>
    <row r="78" spans="1:9">
      <c r="A78" s="108" t="s">
        <v>64</v>
      </c>
      <c r="B78" s="109"/>
      <c r="C78" s="109"/>
      <c r="D78" s="109"/>
      <c r="E78" s="109"/>
      <c r="F78" s="109"/>
      <c r="G78" s="109"/>
      <c r="H78" s="109"/>
      <c r="I78" s="113"/>
    </row>
    <row r="79" spans="1:9">
      <c r="A79" s="114">
        <v>4</v>
      </c>
      <c r="B79" s="115">
        <v>1</v>
      </c>
      <c r="C79" s="116" t="s">
        <v>565</v>
      </c>
      <c r="D79" s="106">
        <v>1779500</v>
      </c>
      <c r="E79" s="106">
        <v>504000</v>
      </c>
      <c r="F79" s="117">
        <f t="shared" ref="F79:F89" si="0">SUM(D79:E79)</f>
        <v>2283500</v>
      </c>
      <c r="G79" s="106">
        <v>1874500</v>
      </c>
      <c r="H79" s="106">
        <v>494000</v>
      </c>
      <c r="I79" s="117">
        <f t="shared" ref="I79:I89" si="1">SUM(G79:H79)</f>
        <v>2368500</v>
      </c>
    </row>
    <row r="80" spans="1:9">
      <c r="A80" s="114">
        <v>5</v>
      </c>
      <c r="B80" s="115">
        <v>2</v>
      </c>
      <c r="C80" s="116" t="s">
        <v>66</v>
      </c>
      <c r="D80" s="106">
        <v>959587</v>
      </c>
      <c r="E80" s="106">
        <v>296550</v>
      </c>
      <c r="F80" s="117">
        <f t="shared" si="0"/>
        <v>1256137</v>
      </c>
      <c r="G80" s="106">
        <v>959587</v>
      </c>
      <c r="H80" s="106">
        <v>286550</v>
      </c>
      <c r="I80" s="117">
        <f t="shared" si="1"/>
        <v>1246137</v>
      </c>
    </row>
    <row r="81" spans="1:9">
      <c r="A81" s="114">
        <v>6</v>
      </c>
      <c r="B81" s="115">
        <v>3</v>
      </c>
      <c r="C81" s="116" t="s">
        <v>67</v>
      </c>
      <c r="D81" s="106">
        <v>2542500</v>
      </c>
      <c r="E81" s="118">
        <v>269300</v>
      </c>
      <c r="F81" s="117">
        <f t="shared" si="0"/>
        <v>2811800</v>
      </c>
      <c r="G81" s="106">
        <v>2542500</v>
      </c>
      <c r="H81" s="118">
        <v>269300</v>
      </c>
      <c r="I81" s="117">
        <f t="shared" si="1"/>
        <v>2811800</v>
      </c>
    </row>
    <row r="82" spans="1:9">
      <c r="A82" s="114">
        <v>7</v>
      </c>
      <c r="B82" s="115">
        <v>4</v>
      </c>
      <c r="C82" s="116" t="s">
        <v>68</v>
      </c>
      <c r="D82" s="106">
        <v>1467063</v>
      </c>
      <c r="E82" s="106">
        <v>44000</v>
      </c>
      <c r="F82" s="117">
        <f t="shared" si="0"/>
        <v>1511063</v>
      </c>
      <c r="G82" s="106">
        <v>1467063</v>
      </c>
      <c r="H82" s="106">
        <v>44000</v>
      </c>
      <c r="I82" s="117">
        <f t="shared" si="1"/>
        <v>1511063</v>
      </c>
    </row>
    <row r="83" spans="1:9">
      <c r="A83" s="114">
        <v>8</v>
      </c>
      <c r="B83" s="115">
        <v>5</v>
      </c>
      <c r="C83" s="116" t="s">
        <v>69</v>
      </c>
      <c r="D83" s="106">
        <v>2117600</v>
      </c>
      <c r="E83" s="106">
        <v>147300</v>
      </c>
      <c r="F83" s="117">
        <f t="shared" si="0"/>
        <v>2264900</v>
      </c>
      <c r="G83" s="106">
        <v>2119800</v>
      </c>
      <c r="H83" s="106">
        <v>147300</v>
      </c>
      <c r="I83" s="117">
        <f t="shared" si="1"/>
        <v>2267100</v>
      </c>
    </row>
    <row r="84" spans="1:9">
      <c r="A84" s="114">
        <v>9</v>
      </c>
      <c r="B84" s="115">
        <v>6</v>
      </c>
      <c r="C84" s="116" t="s">
        <v>426</v>
      </c>
      <c r="D84" s="106">
        <v>3761450</v>
      </c>
      <c r="E84" s="106"/>
      <c r="F84" s="117">
        <f t="shared" si="0"/>
        <v>3761450</v>
      </c>
      <c r="G84" s="106">
        <v>3764550</v>
      </c>
      <c r="H84" s="106"/>
      <c r="I84" s="117">
        <f t="shared" si="1"/>
        <v>3764550</v>
      </c>
    </row>
    <row r="85" spans="1:9">
      <c r="A85" s="114">
        <v>10</v>
      </c>
      <c r="B85" s="115">
        <v>7</v>
      </c>
      <c r="C85" s="116" t="s">
        <v>71</v>
      </c>
      <c r="D85" s="106">
        <v>1507700</v>
      </c>
      <c r="E85" s="106">
        <v>1964500</v>
      </c>
      <c r="F85" s="117">
        <f t="shared" si="0"/>
        <v>3472200</v>
      </c>
      <c r="G85" s="106">
        <v>1507700</v>
      </c>
      <c r="H85" s="106">
        <v>1964500</v>
      </c>
      <c r="I85" s="117">
        <f t="shared" si="1"/>
        <v>3472200</v>
      </c>
    </row>
    <row r="86" spans="1:9">
      <c r="A86" s="114">
        <v>11</v>
      </c>
      <c r="B86" s="115">
        <v>8</v>
      </c>
      <c r="C86" s="116" t="s">
        <v>72</v>
      </c>
      <c r="D86" s="106">
        <v>610000</v>
      </c>
      <c r="E86" s="106">
        <v>855000</v>
      </c>
      <c r="F86" s="117">
        <f t="shared" si="0"/>
        <v>1465000</v>
      </c>
      <c r="G86" s="106"/>
      <c r="H86" s="106"/>
      <c r="I86" s="117">
        <f t="shared" si="1"/>
        <v>0</v>
      </c>
    </row>
    <row r="87" spans="1:9">
      <c r="A87" s="114">
        <v>12</v>
      </c>
      <c r="B87" s="115">
        <v>9</v>
      </c>
      <c r="C87" s="116" t="s">
        <v>73</v>
      </c>
      <c r="D87" s="106">
        <v>1526250</v>
      </c>
      <c r="E87" s="106">
        <v>52000</v>
      </c>
      <c r="F87" s="117">
        <f t="shared" si="0"/>
        <v>1578250</v>
      </c>
      <c r="G87" s="106">
        <v>1528000</v>
      </c>
      <c r="H87" s="106">
        <v>52000</v>
      </c>
      <c r="I87" s="117">
        <f t="shared" si="1"/>
        <v>1580000</v>
      </c>
    </row>
    <row r="88" spans="1:9">
      <c r="A88" s="114">
        <v>13</v>
      </c>
      <c r="B88" s="115">
        <v>10</v>
      </c>
      <c r="C88" s="119" t="s">
        <v>74</v>
      </c>
      <c r="D88" s="106">
        <v>320515</v>
      </c>
      <c r="E88" s="106">
        <v>58000</v>
      </c>
      <c r="F88" s="117">
        <f t="shared" si="0"/>
        <v>378515</v>
      </c>
      <c r="G88" s="106"/>
      <c r="H88" s="106"/>
      <c r="I88" s="117">
        <f t="shared" si="1"/>
        <v>0</v>
      </c>
    </row>
    <row r="89" spans="1:9">
      <c r="A89" s="108" t="s">
        <v>58</v>
      </c>
      <c r="B89" s="109"/>
      <c r="C89" s="109"/>
      <c r="D89" s="110">
        <f>SUM(D79:D88)</f>
        <v>16592165</v>
      </c>
      <c r="E89" s="110">
        <f>SUM(E79:E88)</f>
        <v>4190650</v>
      </c>
      <c r="F89" s="110">
        <f t="shared" si="0"/>
        <v>20782815</v>
      </c>
      <c r="G89" s="110">
        <f>SUM(G79:G88)</f>
        <v>15763700</v>
      </c>
      <c r="H89" s="110">
        <f>SUM(H79:H88)</f>
        <v>3257650</v>
      </c>
      <c r="I89" s="110">
        <f t="shared" si="1"/>
        <v>19021350</v>
      </c>
    </row>
    <row r="90" spans="1:9">
      <c r="A90" s="108" t="s">
        <v>75</v>
      </c>
      <c r="B90" s="109"/>
      <c r="C90" s="109"/>
      <c r="D90" s="109"/>
      <c r="E90" s="109"/>
      <c r="F90" s="109"/>
      <c r="G90" s="109"/>
      <c r="H90" s="109"/>
      <c r="I90" s="113"/>
    </row>
    <row r="91" spans="1:9">
      <c r="A91" s="120">
        <v>14</v>
      </c>
      <c r="B91" s="119">
        <v>1</v>
      </c>
      <c r="C91" s="116" t="s">
        <v>76</v>
      </c>
      <c r="D91" s="106">
        <v>2661978</v>
      </c>
      <c r="E91" s="219">
        <v>1838215</v>
      </c>
      <c r="F91" s="117">
        <f>SUM(D91:E91)</f>
        <v>4500193</v>
      </c>
      <c r="G91" s="106">
        <v>2615858</v>
      </c>
      <c r="H91" s="219">
        <v>1834215</v>
      </c>
      <c r="I91" s="117">
        <f>SUM(G91:H91)</f>
        <v>4450073</v>
      </c>
    </row>
    <row r="92" spans="1:9">
      <c r="A92" s="120">
        <v>15</v>
      </c>
      <c r="B92" s="119">
        <v>2</v>
      </c>
      <c r="C92" s="116" t="s">
        <v>77</v>
      </c>
      <c r="D92" s="106">
        <v>3692588</v>
      </c>
      <c r="E92" s="106">
        <v>5125000</v>
      </c>
      <c r="F92" s="117">
        <f t="shared" ref="F92:F104" si="2">SUM(D92:E92)</f>
        <v>8817588</v>
      </c>
      <c r="G92" s="106">
        <v>3692588</v>
      </c>
      <c r="H92" s="106">
        <v>5105000</v>
      </c>
      <c r="I92" s="117">
        <f t="shared" ref="I92:I104" si="3">SUM(G92:H92)</f>
        <v>8797588</v>
      </c>
    </row>
    <row r="93" spans="1:9">
      <c r="A93" s="120">
        <v>16</v>
      </c>
      <c r="B93" s="119">
        <v>3</v>
      </c>
      <c r="C93" s="116" t="s">
        <v>78</v>
      </c>
      <c r="D93" s="106">
        <v>2769828</v>
      </c>
      <c r="E93" s="106">
        <v>780000</v>
      </c>
      <c r="F93" s="117">
        <f t="shared" si="2"/>
        <v>3549828</v>
      </c>
      <c r="G93" s="106">
        <v>2769828</v>
      </c>
      <c r="H93" s="106">
        <v>779000</v>
      </c>
      <c r="I93" s="117">
        <f t="shared" si="3"/>
        <v>3548828</v>
      </c>
    </row>
    <row r="94" spans="1:9">
      <c r="A94" s="120">
        <v>17</v>
      </c>
      <c r="B94" s="119">
        <v>4</v>
      </c>
      <c r="C94" s="116" t="s">
        <v>79</v>
      </c>
      <c r="D94" s="106">
        <v>966440</v>
      </c>
      <c r="E94" s="106">
        <v>1410392</v>
      </c>
      <c r="F94" s="117">
        <f t="shared" si="2"/>
        <v>2376832</v>
      </c>
      <c r="G94" s="106">
        <v>969587</v>
      </c>
      <c r="H94" s="106">
        <v>1410392</v>
      </c>
      <c r="I94" s="117">
        <f t="shared" si="3"/>
        <v>2379979</v>
      </c>
    </row>
    <row r="95" spans="1:9">
      <c r="A95" s="120">
        <v>18</v>
      </c>
      <c r="B95" s="119">
        <v>5</v>
      </c>
      <c r="C95" s="116" t="s">
        <v>80</v>
      </c>
      <c r="D95" s="106">
        <v>5464400</v>
      </c>
      <c r="E95" s="106">
        <v>190000</v>
      </c>
      <c r="F95" s="117">
        <f t="shared" si="2"/>
        <v>5654400</v>
      </c>
      <c r="G95" s="106">
        <v>2738700</v>
      </c>
      <c r="H95" s="106">
        <v>95000</v>
      </c>
      <c r="I95" s="117">
        <f t="shared" si="3"/>
        <v>2833700</v>
      </c>
    </row>
    <row r="96" spans="1:9">
      <c r="A96" s="120">
        <v>19</v>
      </c>
      <c r="B96" s="119">
        <v>6</v>
      </c>
      <c r="C96" s="116" t="s">
        <v>81</v>
      </c>
      <c r="D96" s="106">
        <v>1940500</v>
      </c>
      <c r="E96" s="106">
        <v>133000</v>
      </c>
      <c r="F96" s="117">
        <f t="shared" si="2"/>
        <v>2073500</v>
      </c>
      <c r="G96" s="106">
        <v>2082500</v>
      </c>
      <c r="H96" s="106">
        <v>127000</v>
      </c>
      <c r="I96" s="117">
        <f t="shared" si="3"/>
        <v>2209500</v>
      </c>
    </row>
    <row r="97" spans="1:9">
      <c r="A97" s="120">
        <v>20</v>
      </c>
      <c r="B97" s="119">
        <v>7</v>
      </c>
      <c r="C97" s="116" t="s">
        <v>82</v>
      </c>
      <c r="D97" s="106">
        <v>4083250</v>
      </c>
      <c r="E97" s="106">
        <v>189700</v>
      </c>
      <c r="F97" s="117">
        <f t="shared" si="2"/>
        <v>4272950</v>
      </c>
      <c r="G97" s="106">
        <v>4215200</v>
      </c>
      <c r="H97" s="106">
        <v>184600</v>
      </c>
      <c r="I97" s="117">
        <f t="shared" si="3"/>
        <v>4399800</v>
      </c>
    </row>
    <row r="98" spans="1:9">
      <c r="A98" s="120">
        <v>21</v>
      </c>
      <c r="B98" s="119">
        <v>8</v>
      </c>
      <c r="C98" s="116" t="s">
        <v>83</v>
      </c>
      <c r="D98" s="106">
        <v>1068029</v>
      </c>
      <c r="E98" s="106">
        <v>864700</v>
      </c>
      <c r="F98" s="117">
        <f t="shared" si="2"/>
        <v>1932729</v>
      </c>
      <c r="G98" s="106">
        <v>1068029</v>
      </c>
      <c r="H98" s="106">
        <v>864700</v>
      </c>
      <c r="I98" s="117">
        <f t="shared" si="3"/>
        <v>1932729</v>
      </c>
    </row>
    <row r="99" spans="1:9">
      <c r="A99" s="120">
        <v>22</v>
      </c>
      <c r="B99" s="119">
        <v>9</v>
      </c>
      <c r="C99" s="116" t="s">
        <v>84</v>
      </c>
      <c r="D99" s="106"/>
      <c r="E99" s="106"/>
      <c r="F99" s="117">
        <f t="shared" si="2"/>
        <v>0</v>
      </c>
      <c r="G99" s="106">
        <v>854000</v>
      </c>
      <c r="H99" s="106">
        <v>152000</v>
      </c>
      <c r="I99" s="117">
        <f t="shared" si="3"/>
        <v>1006000</v>
      </c>
    </row>
    <row r="100" spans="1:9">
      <c r="A100" s="120">
        <v>23</v>
      </c>
      <c r="B100" s="119">
        <v>10</v>
      </c>
      <c r="C100" s="116" t="s">
        <v>85</v>
      </c>
      <c r="D100" s="106">
        <v>3009562</v>
      </c>
      <c r="E100" s="106">
        <v>58000</v>
      </c>
      <c r="F100" s="117">
        <f t="shared" si="2"/>
        <v>3067562</v>
      </c>
      <c r="G100" s="106">
        <v>3009477</v>
      </c>
      <c r="H100" s="106">
        <v>58000</v>
      </c>
      <c r="I100" s="117">
        <f t="shared" si="3"/>
        <v>3067477</v>
      </c>
    </row>
    <row r="101" spans="1:9">
      <c r="A101" s="120">
        <v>24</v>
      </c>
      <c r="B101" s="119">
        <v>11</v>
      </c>
      <c r="C101" s="116" t="s">
        <v>427</v>
      </c>
      <c r="D101" s="106">
        <v>2812067</v>
      </c>
      <c r="E101" s="106">
        <v>1340000</v>
      </c>
      <c r="F101" s="117">
        <f t="shared" si="2"/>
        <v>4152067</v>
      </c>
      <c r="G101" s="106">
        <v>2815267</v>
      </c>
      <c r="H101" s="106">
        <v>1340000</v>
      </c>
      <c r="I101" s="117">
        <f t="shared" si="3"/>
        <v>4155267</v>
      </c>
    </row>
    <row r="102" spans="1:9">
      <c r="A102" s="120">
        <v>25</v>
      </c>
      <c r="B102" s="119">
        <v>12</v>
      </c>
      <c r="C102" s="116" t="s">
        <v>87</v>
      </c>
      <c r="D102" s="106">
        <v>1499800</v>
      </c>
      <c r="E102" s="106">
        <v>474192</v>
      </c>
      <c r="F102" s="117">
        <f t="shared" si="2"/>
        <v>1973992</v>
      </c>
      <c r="G102" s="106">
        <v>1499800</v>
      </c>
      <c r="H102" s="106">
        <v>464192</v>
      </c>
      <c r="I102" s="117">
        <f t="shared" si="3"/>
        <v>1963992</v>
      </c>
    </row>
    <row r="103" spans="1:9">
      <c r="A103" s="120">
        <v>26</v>
      </c>
      <c r="B103" s="119">
        <v>13</v>
      </c>
      <c r="C103" s="116" t="s">
        <v>88</v>
      </c>
      <c r="D103" s="106">
        <v>1806000</v>
      </c>
      <c r="E103" s="219">
        <v>635000</v>
      </c>
      <c r="F103" s="117">
        <f t="shared" si="2"/>
        <v>2441000</v>
      </c>
      <c r="G103" s="106">
        <v>1882600</v>
      </c>
      <c r="H103" s="219">
        <v>615000</v>
      </c>
      <c r="I103" s="117">
        <f t="shared" si="3"/>
        <v>2497600</v>
      </c>
    </row>
    <row r="104" spans="1:9">
      <c r="A104" s="120">
        <v>27</v>
      </c>
      <c r="B104" s="119">
        <v>14</v>
      </c>
      <c r="C104" s="116" t="s">
        <v>89</v>
      </c>
      <c r="D104" s="106">
        <v>182000</v>
      </c>
      <c r="E104" s="106">
        <v>269000</v>
      </c>
      <c r="F104" s="117">
        <f t="shared" si="2"/>
        <v>451000</v>
      </c>
      <c r="G104" s="106"/>
      <c r="H104" s="106"/>
      <c r="I104" s="117">
        <f t="shared" si="3"/>
        <v>0</v>
      </c>
    </row>
    <row r="105" spans="1:9">
      <c r="A105" s="108" t="s">
        <v>58</v>
      </c>
      <c r="B105" s="109"/>
      <c r="C105" s="109"/>
      <c r="D105" s="110">
        <f>SUM(D91:D104)</f>
        <v>31956442</v>
      </c>
      <c r="E105" s="110">
        <f>SUM(E91:E104)</f>
        <v>13307199</v>
      </c>
      <c r="F105" s="110">
        <f>SUM(D105:E105)</f>
        <v>45263641</v>
      </c>
      <c r="G105" s="110">
        <f>SUM(G91:G104)</f>
        <v>30213434</v>
      </c>
      <c r="H105" s="110">
        <f>SUM(H91:H104)</f>
        <v>13029099</v>
      </c>
      <c r="I105" s="110">
        <f>SUM(G105:H105)</f>
        <v>43242533</v>
      </c>
    </row>
    <row r="106" spans="1:9">
      <c r="A106" s="108" t="s">
        <v>90</v>
      </c>
      <c r="B106" s="109"/>
      <c r="C106" s="109"/>
      <c r="D106" s="109"/>
      <c r="E106" s="109"/>
      <c r="F106" s="109"/>
      <c r="G106" s="109"/>
      <c r="H106" s="109"/>
      <c r="I106" s="113"/>
    </row>
    <row r="107" spans="1:9">
      <c r="A107" s="119">
        <v>28</v>
      </c>
      <c r="B107" s="119">
        <v>1</v>
      </c>
      <c r="C107" s="116" t="s">
        <v>91</v>
      </c>
      <c r="D107" s="106">
        <v>350000</v>
      </c>
      <c r="E107" s="106">
        <v>305000</v>
      </c>
      <c r="F107" s="117">
        <f>SUM(D107:E107)</f>
        <v>655000</v>
      </c>
      <c r="G107" s="106"/>
      <c r="H107" s="106">
        <v>305000</v>
      </c>
      <c r="I107" s="117">
        <f>SUM(G107:H107)</f>
        <v>305000</v>
      </c>
    </row>
    <row r="108" spans="1:9">
      <c r="A108" s="119">
        <v>29</v>
      </c>
      <c r="B108" s="119">
        <v>2</v>
      </c>
      <c r="C108" s="121" t="s">
        <v>92</v>
      </c>
      <c r="D108" s="106"/>
      <c r="E108" s="106"/>
      <c r="F108" s="117">
        <f t="shared" ref="F108:F115" si="4">SUM(D108:E108)</f>
        <v>0</v>
      </c>
      <c r="G108" s="106"/>
      <c r="H108" s="106"/>
      <c r="I108" s="117">
        <f t="shared" ref="I108:I115" si="5">SUM(G108:H108)</f>
        <v>0</v>
      </c>
    </row>
    <row r="109" spans="1:9">
      <c r="A109" s="119">
        <v>30</v>
      </c>
      <c r="B109" s="119">
        <v>3</v>
      </c>
      <c r="C109" s="121" t="s">
        <v>93</v>
      </c>
      <c r="D109" s="106"/>
      <c r="E109" s="106"/>
      <c r="F109" s="117">
        <f t="shared" si="4"/>
        <v>0</v>
      </c>
      <c r="G109" s="106"/>
      <c r="H109" s="106"/>
      <c r="I109" s="117">
        <f t="shared" si="5"/>
        <v>0</v>
      </c>
    </row>
    <row r="110" spans="1:9">
      <c r="A110" s="119">
        <v>31</v>
      </c>
      <c r="B110" s="119">
        <v>4</v>
      </c>
      <c r="C110" s="121" t="s">
        <v>94</v>
      </c>
      <c r="D110" s="106">
        <v>255000</v>
      </c>
      <c r="E110" s="106">
        <v>185000</v>
      </c>
      <c r="F110" s="117">
        <f t="shared" si="4"/>
        <v>440000</v>
      </c>
      <c r="G110" s="106">
        <f>256000+350000</f>
        <v>606000</v>
      </c>
      <c r="H110" s="106">
        <v>185000</v>
      </c>
      <c r="I110" s="117">
        <f t="shared" si="5"/>
        <v>791000</v>
      </c>
    </row>
    <row r="111" spans="1:9">
      <c r="A111" s="119">
        <v>32</v>
      </c>
      <c r="B111" s="119">
        <v>5</v>
      </c>
      <c r="C111" s="121" t="s">
        <v>95</v>
      </c>
      <c r="D111" s="106">
        <v>148000</v>
      </c>
      <c r="E111" s="106">
        <v>260000</v>
      </c>
      <c r="F111" s="117">
        <f t="shared" si="4"/>
        <v>408000</v>
      </c>
      <c r="G111" s="106"/>
      <c r="H111" s="106">
        <v>260000</v>
      </c>
      <c r="I111" s="117">
        <f t="shared" si="5"/>
        <v>260000</v>
      </c>
    </row>
    <row r="112" spans="1:9">
      <c r="A112" s="119">
        <v>33</v>
      </c>
      <c r="B112" s="119">
        <v>6</v>
      </c>
      <c r="C112" s="121" t="s">
        <v>96</v>
      </c>
      <c r="D112" s="106">
        <v>441000</v>
      </c>
      <c r="E112" s="106">
        <v>42000</v>
      </c>
      <c r="F112" s="117">
        <f t="shared" si="4"/>
        <v>483000</v>
      </c>
      <c r="G112" s="106">
        <v>441000</v>
      </c>
      <c r="H112" s="106">
        <v>42000</v>
      </c>
      <c r="I112" s="117">
        <f t="shared" si="5"/>
        <v>483000</v>
      </c>
    </row>
    <row r="113" spans="1:9">
      <c r="A113" s="119">
        <v>34</v>
      </c>
      <c r="B113" s="119">
        <v>7</v>
      </c>
      <c r="C113" s="121" t="s">
        <v>97</v>
      </c>
      <c r="D113" s="106">
        <v>640600</v>
      </c>
      <c r="E113" s="106">
        <v>306500</v>
      </c>
      <c r="F113" s="117">
        <f t="shared" si="4"/>
        <v>947100</v>
      </c>
      <c r="G113" s="106">
        <v>640600</v>
      </c>
      <c r="H113" s="106">
        <v>308500</v>
      </c>
      <c r="I113" s="117">
        <f t="shared" si="5"/>
        <v>949100</v>
      </c>
    </row>
    <row r="114" spans="1:9">
      <c r="A114" s="119">
        <v>35</v>
      </c>
      <c r="B114" s="119">
        <v>8</v>
      </c>
      <c r="C114" s="121" t="s">
        <v>98</v>
      </c>
      <c r="D114" s="106">
        <v>460000</v>
      </c>
      <c r="E114" s="106">
        <v>90000</v>
      </c>
      <c r="F114" s="117">
        <f t="shared" si="4"/>
        <v>550000</v>
      </c>
      <c r="G114" s="106">
        <v>460400</v>
      </c>
      <c r="H114" s="106">
        <v>90000</v>
      </c>
      <c r="I114" s="117">
        <f t="shared" si="5"/>
        <v>550400</v>
      </c>
    </row>
    <row r="115" spans="1:9">
      <c r="A115" s="119">
        <v>36</v>
      </c>
      <c r="B115" s="119">
        <v>9</v>
      </c>
      <c r="C115" s="122" t="s">
        <v>99</v>
      </c>
      <c r="D115" s="106">
        <v>887450</v>
      </c>
      <c r="E115" s="106">
        <v>303000</v>
      </c>
      <c r="F115" s="117">
        <f t="shared" si="4"/>
        <v>1190450</v>
      </c>
      <c r="G115" s="106">
        <v>887350</v>
      </c>
      <c r="H115" s="106">
        <v>303000</v>
      </c>
      <c r="I115" s="117">
        <f t="shared" si="5"/>
        <v>1190350</v>
      </c>
    </row>
    <row r="116" spans="1:9">
      <c r="A116" s="108" t="s">
        <v>101</v>
      </c>
      <c r="B116" s="109"/>
      <c r="C116" s="123"/>
      <c r="D116" s="110">
        <f>SUM(D107:D115)</f>
        <v>3182050</v>
      </c>
      <c r="E116" s="110">
        <f>SUM(E107:E115)</f>
        <v>1491500</v>
      </c>
      <c r="F116" s="110">
        <f>SUM(D116:E116)</f>
        <v>4673550</v>
      </c>
      <c r="G116" s="110">
        <f>SUM(G107:G115)</f>
        <v>3035350</v>
      </c>
      <c r="H116" s="110">
        <f>SUM(H107:H115)</f>
        <v>1493500</v>
      </c>
      <c r="I116" s="110">
        <f>SUM(G116:H116)</f>
        <v>4528850</v>
      </c>
    </row>
    <row r="117" spans="1:9">
      <c r="A117" s="108" t="s">
        <v>102</v>
      </c>
      <c r="B117" s="109"/>
      <c r="C117" s="109"/>
      <c r="D117" s="109"/>
      <c r="E117" s="109"/>
      <c r="F117" s="109"/>
      <c r="G117" s="109"/>
      <c r="H117" s="109"/>
      <c r="I117" s="113"/>
    </row>
    <row r="118" spans="1:9">
      <c r="A118" s="119">
        <v>37</v>
      </c>
      <c r="B118" s="119">
        <v>1</v>
      </c>
      <c r="C118" s="116" t="s">
        <v>103</v>
      </c>
      <c r="D118" s="106">
        <v>100000</v>
      </c>
      <c r="E118" s="106">
        <v>55000</v>
      </c>
      <c r="F118" s="117">
        <f>SUM(D118:E118)</f>
        <v>155000</v>
      </c>
      <c r="G118" s="106">
        <v>100000</v>
      </c>
      <c r="H118" s="106">
        <v>55000</v>
      </c>
      <c r="I118" s="117">
        <f>SUM(G118:H118)</f>
        <v>155000</v>
      </c>
    </row>
    <row r="119" spans="1:9">
      <c r="A119" s="119">
        <v>38</v>
      </c>
      <c r="B119" s="119">
        <v>2</v>
      </c>
      <c r="C119" s="116" t="s">
        <v>104</v>
      </c>
      <c r="D119" s="106"/>
      <c r="E119" s="106"/>
      <c r="F119" s="117">
        <f>SUM(D119:E119)</f>
        <v>0</v>
      </c>
      <c r="G119" s="106"/>
      <c r="H119" s="106"/>
      <c r="I119" s="117">
        <f>SUM(G119:H119)</f>
        <v>0</v>
      </c>
    </row>
    <row r="120" spans="1:9">
      <c r="A120" s="119">
        <v>39</v>
      </c>
      <c r="B120" s="119">
        <v>3</v>
      </c>
      <c r="C120" s="116" t="s">
        <v>105</v>
      </c>
      <c r="D120" s="106">
        <v>1378000</v>
      </c>
      <c r="E120" s="106"/>
      <c r="F120" s="117">
        <f>SUM(D120:E120)</f>
        <v>1378000</v>
      </c>
      <c r="G120" s="106">
        <v>1378000</v>
      </c>
      <c r="H120" s="106"/>
      <c r="I120" s="117">
        <f>SUM(G120:H120)</f>
        <v>1378000</v>
      </c>
    </row>
    <row r="121" spans="1:9">
      <c r="A121" s="119">
        <v>40</v>
      </c>
      <c r="B121" s="119">
        <v>5</v>
      </c>
      <c r="C121" s="116" t="s">
        <v>106</v>
      </c>
      <c r="D121" s="106">
        <v>382700</v>
      </c>
      <c r="E121" s="106">
        <v>100000</v>
      </c>
      <c r="F121" s="117">
        <f>SUM(D121:E121)</f>
        <v>482700</v>
      </c>
      <c r="G121" s="106">
        <v>382700</v>
      </c>
      <c r="H121" s="106">
        <v>100000</v>
      </c>
      <c r="I121" s="117">
        <f>SUM(G121:H121)</f>
        <v>482700</v>
      </c>
    </row>
    <row r="122" spans="1:9">
      <c r="A122" s="108" t="s">
        <v>58</v>
      </c>
      <c r="B122" s="109"/>
      <c r="C122" s="109"/>
      <c r="D122" s="110">
        <f>SUM(D118:D121)</f>
        <v>1860700</v>
      </c>
      <c r="E122" s="110">
        <f>SUM(E118:E121)</f>
        <v>155000</v>
      </c>
      <c r="F122" s="110">
        <f>SUM(D122:E122)</f>
        <v>2015700</v>
      </c>
      <c r="G122" s="110">
        <f>SUM(G118:G121)</f>
        <v>1860700</v>
      </c>
      <c r="H122" s="110">
        <f>SUM(H118:H121)</f>
        <v>155000</v>
      </c>
      <c r="I122" s="110">
        <f>SUM(G122:H122)</f>
        <v>2015700</v>
      </c>
    </row>
    <row r="123" spans="1:9">
      <c r="A123" s="108" t="s">
        <v>107</v>
      </c>
      <c r="B123" s="109"/>
      <c r="C123" s="109"/>
      <c r="D123" s="109"/>
      <c r="E123" s="109"/>
      <c r="F123" s="109"/>
      <c r="G123" s="109"/>
      <c r="H123" s="109"/>
      <c r="I123" s="113"/>
    </row>
    <row r="124" spans="1:9">
      <c r="A124" s="119">
        <v>41</v>
      </c>
      <c r="B124" s="119">
        <v>1</v>
      </c>
      <c r="C124" s="119" t="s">
        <v>108</v>
      </c>
      <c r="D124" s="106">
        <v>500000</v>
      </c>
      <c r="E124" s="106">
        <v>100000</v>
      </c>
      <c r="F124" s="117">
        <f>SUM(D124:E124)</f>
        <v>600000</v>
      </c>
      <c r="G124" s="106">
        <v>500000</v>
      </c>
      <c r="H124" s="106">
        <v>100000</v>
      </c>
      <c r="I124" s="117">
        <f>SUM(G124:H124)</f>
        <v>600000</v>
      </c>
    </row>
    <row r="125" spans="1:9">
      <c r="A125" s="108" t="s">
        <v>101</v>
      </c>
      <c r="B125" s="109"/>
      <c r="C125" s="109"/>
      <c r="D125" s="110">
        <f>D124</f>
        <v>500000</v>
      </c>
      <c r="E125" s="110">
        <f>E124</f>
        <v>100000</v>
      </c>
      <c r="F125" s="110">
        <f>SUM(D125:E125)</f>
        <v>600000</v>
      </c>
      <c r="G125" s="110">
        <f>G124</f>
        <v>500000</v>
      </c>
      <c r="H125" s="110">
        <f>H124</f>
        <v>100000</v>
      </c>
      <c r="I125" s="110">
        <f>SUM(G125:H125)</f>
        <v>600000</v>
      </c>
    </row>
    <row r="126" spans="1:9">
      <c r="A126" s="108" t="s">
        <v>109</v>
      </c>
      <c r="B126" s="109"/>
      <c r="C126" s="109"/>
      <c r="D126" s="109"/>
      <c r="E126" s="109"/>
      <c r="F126" s="109"/>
      <c r="G126" s="109"/>
      <c r="H126" s="109"/>
      <c r="I126" s="113"/>
    </row>
    <row r="127" spans="1:9">
      <c r="A127" s="119">
        <v>42</v>
      </c>
      <c r="B127" s="119">
        <v>1</v>
      </c>
      <c r="C127" s="121" t="s">
        <v>110</v>
      </c>
      <c r="D127" s="106">
        <v>1729999</v>
      </c>
      <c r="E127" s="106">
        <v>510650</v>
      </c>
      <c r="F127" s="117">
        <f>SUM(D127:E127)</f>
        <v>2240649</v>
      </c>
      <c r="G127" s="106">
        <v>1730000</v>
      </c>
      <c r="H127" s="106">
        <v>510650</v>
      </c>
      <c r="I127" s="117">
        <f>SUM(G127:H127)</f>
        <v>2240650</v>
      </c>
    </row>
    <row r="128" spans="1:9">
      <c r="A128" s="108" t="s">
        <v>101</v>
      </c>
      <c r="B128" s="109"/>
      <c r="C128" s="109"/>
      <c r="D128" s="110">
        <f>D127</f>
        <v>1729999</v>
      </c>
      <c r="E128" s="110">
        <f>E127</f>
        <v>510650</v>
      </c>
      <c r="F128" s="110">
        <f>SUM(D128:E128)</f>
        <v>2240649</v>
      </c>
      <c r="G128" s="110">
        <f>G127</f>
        <v>1730000</v>
      </c>
      <c r="H128" s="110">
        <f>H127</f>
        <v>510650</v>
      </c>
      <c r="I128" s="110">
        <f>SUM(G128:H128)</f>
        <v>2240650</v>
      </c>
    </row>
    <row r="129" spans="1:9">
      <c r="A129" s="108" t="s">
        <v>111</v>
      </c>
      <c r="B129" s="109"/>
      <c r="C129" s="109"/>
      <c r="D129" s="109"/>
      <c r="E129" s="109"/>
      <c r="F129" s="109"/>
      <c r="G129" s="109"/>
      <c r="H129" s="109"/>
      <c r="I129" s="113"/>
    </row>
    <row r="130" spans="1:9">
      <c r="A130" s="119">
        <v>43</v>
      </c>
      <c r="B130" s="119">
        <v>1</v>
      </c>
      <c r="C130" s="121" t="s">
        <v>112</v>
      </c>
      <c r="D130" s="106">
        <v>1568500</v>
      </c>
      <c r="E130" s="106">
        <v>649500</v>
      </c>
      <c r="F130" s="117">
        <f>SUM(D130:E130)</f>
        <v>2218000</v>
      </c>
      <c r="G130" s="106">
        <v>1543500</v>
      </c>
      <c r="H130" s="106">
        <v>649500</v>
      </c>
      <c r="I130" s="117">
        <f>SUM(G130:H130)</f>
        <v>2193000</v>
      </c>
    </row>
    <row r="131" spans="1:9">
      <c r="A131" s="119">
        <v>44</v>
      </c>
      <c r="B131" s="119">
        <v>2</v>
      </c>
      <c r="C131" s="121" t="s">
        <v>113</v>
      </c>
      <c r="D131" s="106"/>
      <c r="E131" s="106">
        <v>330000</v>
      </c>
      <c r="F131" s="117">
        <f t="shared" ref="F131:F149" si="6">SUM(D131:E131)</f>
        <v>330000</v>
      </c>
      <c r="G131" s="106"/>
      <c r="H131" s="106">
        <v>330000</v>
      </c>
      <c r="I131" s="117">
        <f t="shared" ref="I131:I139" si="7">SUM(G131:H131)</f>
        <v>330000</v>
      </c>
    </row>
    <row r="132" spans="1:9">
      <c r="A132" s="119">
        <v>45</v>
      </c>
      <c r="B132" s="119">
        <v>3</v>
      </c>
      <c r="C132" s="125" t="s">
        <v>114</v>
      </c>
      <c r="D132" s="106">
        <v>1643000</v>
      </c>
      <c r="E132" s="106"/>
      <c r="F132" s="117">
        <f t="shared" si="6"/>
        <v>1643000</v>
      </c>
      <c r="G132" s="106">
        <v>1642000</v>
      </c>
      <c r="H132" s="106"/>
      <c r="I132" s="117">
        <f t="shared" si="7"/>
        <v>1642000</v>
      </c>
    </row>
    <row r="133" spans="1:9">
      <c r="A133" s="119">
        <v>46</v>
      </c>
      <c r="B133" s="124">
        <v>4</v>
      </c>
      <c r="C133" s="125" t="s">
        <v>115</v>
      </c>
      <c r="D133" s="106"/>
      <c r="E133" s="106">
        <v>224000</v>
      </c>
      <c r="F133" s="117">
        <f t="shared" si="6"/>
        <v>224000</v>
      </c>
      <c r="G133" s="106"/>
      <c r="H133" s="106"/>
      <c r="I133" s="117">
        <f t="shared" si="7"/>
        <v>0</v>
      </c>
    </row>
    <row r="134" spans="1:9">
      <c r="A134" s="119">
        <v>47</v>
      </c>
      <c r="B134" s="119">
        <v>5</v>
      </c>
      <c r="C134" s="125" t="s">
        <v>116</v>
      </c>
      <c r="D134" s="106">
        <v>505700</v>
      </c>
      <c r="E134" s="106">
        <v>136000</v>
      </c>
      <c r="F134" s="117">
        <f t="shared" si="6"/>
        <v>641700</v>
      </c>
      <c r="G134" s="106">
        <v>505700</v>
      </c>
      <c r="H134" s="106">
        <v>136000</v>
      </c>
      <c r="I134" s="117">
        <f t="shared" si="7"/>
        <v>641700</v>
      </c>
    </row>
    <row r="135" spans="1:9">
      <c r="A135" s="119">
        <v>48</v>
      </c>
      <c r="B135" s="119">
        <v>6</v>
      </c>
      <c r="C135" s="125" t="s">
        <v>117</v>
      </c>
      <c r="D135" s="106">
        <v>671502</v>
      </c>
      <c r="E135" s="106">
        <v>130000</v>
      </c>
      <c r="F135" s="117">
        <f t="shared" si="6"/>
        <v>801502</v>
      </c>
      <c r="G135" s="106"/>
      <c r="H135" s="106"/>
      <c r="I135" s="117">
        <f t="shared" si="7"/>
        <v>0</v>
      </c>
    </row>
    <row r="136" spans="1:9">
      <c r="A136" s="119">
        <v>49</v>
      </c>
      <c r="B136" s="119">
        <v>7</v>
      </c>
      <c r="C136" s="125" t="s">
        <v>118</v>
      </c>
      <c r="D136" s="106">
        <v>724000</v>
      </c>
      <c r="E136" s="106">
        <v>150000</v>
      </c>
      <c r="F136" s="117">
        <f t="shared" si="6"/>
        <v>874000</v>
      </c>
      <c r="G136" s="106">
        <v>727000</v>
      </c>
      <c r="H136" s="106">
        <v>150000</v>
      </c>
      <c r="I136" s="117">
        <f t="shared" si="7"/>
        <v>877000</v>
      </c>
    </row>
    <row r="137" spans="1:9">
      <c r="A137" s="119">
        <v>50</v>
      </c>
      <c r="B137" s="119">
        <v>8</v>
      </c>
      <c r="C137" s="121" t="s">
        <v>119</v>
      </c>
      <c r="D137" s="106">
        <v>615000</v>
      </c>
      <c r="E137" s="106">
        <v>100000</v>
      </c>
      <c r="F137" s="117">
        <f t="shared" si="6"/>
        <v>715000</v>
      </c>
      <c r="G137" s="106"/>
      <c r="H137" s="106">
        <v>100000</v>
      </c>
      <c r="I137" s="117">
        <f t="shared" si="7"/>
        <v>100000</v>
      </c>
    </row>
    <row r="138" spans="1:9">
      <c r="A138" s="119">
        <v>51</v>
      </c>
      <c r="B138" s="119">
        <v>9</v>
      </c>
      <c r="C138" s="121" t="s">
        <v>120</v>
      </c>
      <c r="D138" s="106">
        <v>554000</v>
      </c>
      <c r="E138" s="106">
        <v>220000</v>
      </c>
      <c r="F138" s="117">
        <f t="shared" si="6"/>
        <v>774000</v>
      </c>
      <c r="G138" s="106">
        <v>554000</v>
      </c>
      <c r="H138" s="106">
        <v>220000</v>
      </c>
      <c r="I138" s="117">
        <f t="shared" si="7"/>
        <v>774000</v>
      </c>
    </row>
    <row r="139" spans="1:9">
      <c r="A139" s="119">
        <v>52</v>
      </c>
      <c r="B139" s="119">
        <v>10</v>
      </c>
      <c r="C139" s="121" t="s">
        <v>121</v>
      </c>
      <c r="D139" s="106"/>
      <c r="E139" s="106">
        <v>578335</v>
      </c>
      <c r="F139" s="117">
        <f t="shared" si="6"/>
        <v>578335</v>
      </c>
      <c r="G139" s="106"/>
      <c r="H139" s="106">
        <v>578335</v>
      </c>
      <c r="I139" s="117">
        <f t="shared" si="7"/>
        <v>578335</v>
      </c>
    </row>
    <row r="140" spans="1:9">
      <c r="A140" s="119">
        <v>53</v>
      </c>
      <c r="B140" s="119">
        <v>11</v>
      </c>
      <c r="C140" s="121" t="s">
        <v>122</v>
      </c>
      <c r="D140" s="106">
        <v>1460000</v>
      </c>
      <c r="F140" s="117">
        <f>SUM(D140:E140)</f>
        <v>1460000</v>
      </c>
      <c r="G140" s="106">
        <v>1339000</v>
      </c>
      <c r="I140" s="117">
        <f>SUM(G140:H140)</f>
        <v>1339000</v>
      </c>
    </row>
    <row r="141" spans="1:9">
      <c r="A141" s="119">
        <v>54</v>
      </c>
      <c r="B141" s="119">
        <v>12</v>
      </c>
      <c r="C141" s="121" t="s">
        <v>123</v>
      </c>
      <c r="D141" s="106">
        <v>1664300</v>
      </c>
      <c r="E141" s="106"/>
      <c r="F141" s="117">
        <f t="shared" si="6"/>
        <v>1664300</v>
      </c>
      <c r="G141" s="106">
        <v>1584300</v>
      </c>
      <c r="H141" s="106"/>
      <c r="I141" s="117">
        <f>SUM(G141:H141)</f>
        <v>1584300</v>
      </c>
    </row>
    <row r="142" spans="1:9">
      <c r="A142" s="119">
        <v>55</v>
      </c>
      <c r="B142" s="119">
        <v>13</v>
      </c>
      <c r="C142" s="121" t="s">
        <v>124</v>
      </c>
      <c r="D142" s="106"/>
      <c r="E142" s="106"/>
      <c r="F142" s="117">
        <f t="shared" si="6"/>
        <v>0</v>
      </c>
      <c r="G142" s="106"/>
      <c r="H142" s="106"/>
      <c r="I142" s="117">
        <f>SUM(G142:H142)</f>
        <v>0</v>
      </c>
    </row>
    <row r="143" spans="1:9">
      <c r="A143" s="119">
        <v>56</v>
      </c>
      <c r="B143" s="119">
        <v>14</v>
      </c>
      <c r="C143" s="121" t="s">
        <v>125</v>
      </c>
      <c r="D143" s="106">
        <v>229000</v>
      </c>
      <c r="E143" s="106">
        <v>140000</v>
      </c>
      <c r="F143" s="117">
        <f>SUM(D143:E143)</f>
        <v>369000</v>
      </c>
      <c r="G143" s="106">
        <v>229000</v>
      </c>
      <c r="H143" s="106">
        <v>140000</v>
      </c>
      <c r="I143" s="117">
        <f>SUM(G143:H143)</f>
        <v>369000</v>
      </c>
    </row>
    <row r="144" spans="1:9">
      <c r="A144" s="119">
        <v>57</v>
      </c>
      <c r="B144" s="119">
        <v>15</v>
      </c>
      <c r="C144" s="121" t="s">
        <v>126</v>
      </c>
      <c r="D144" s="106">
        <v>1250000</v>
      </c>
      <c r="E144" s="106">
        <v>250000</v>
      </c>
      <c r="F144" s="117">
        <f t="shared" si="6"/>
        <v>1500000</v>
      </c>
      <c r="G144" s="106">
        <v>1250000</v>
      </c>
      <c r="H144" s="106">
        <v>250000</v>
      </c>
      <c r="I144" s="117">
        <f t="shared" ref="I144:I149" si="8">SUM(G144:H144)</f>
        <v>1500000</v>
      </c>
    </row>
    <row r="145" spans="1:9">
      <c r="A145" s="119">
        <v>58</v>
      </c>
      <c r="B145" s="119">
        <v>16</v>
      </c>
      <c r="C145" s="121" t="s">
        <v>127</v>
      </c>
      <c r="D145" s="106">
        <v>1000000</v>
      </c>
      <c r="E145" s="106"/>
      <c r="F145" s="117">
        <f t="shared" si="6"/>
        <v>1000000</v>
      </c>
      <c r="G145" s="106">
        <v>1116000</v>
      </c>
      <c r="H145" s="106"/>
      <c r="I145" s="117">
        <f t="shared" si="8"/>
        <v>1116000</v>
      </c>
    </row>
    <row r="146" spans="1:9">
      <c r="A146" s="119">
        <v>59</v>
      </c>
      <c r="B146" s="119">
        <v>17</v>
      </c>
      <c r="C146" s="121" t="s">
        <v>128</v>
      </c>
      <c r="D146" s="106">
        <v>1424000</v>
      </c>
      <c r="E146" s="106"/>
      <c r="F146" s="117">
        <f t="shared" si="6"/>
        <v>1424000</v>
      </c>
      <c r="G146" s="106"/>
      <c r="H146" s="106"/>
      <c r="I146" s="117">
        <f t="shared" si="8"/>
        <v>0</v>
      </c>
    </row>
    <row r="147" spans="1:9">
      <c r="A147" s="119">
        <v>60</v>
      </c>
      <c r="B147" s="119">
        <v>18</v>
      </c>
      <c r="C147" s="121" t="s">
        <v>129</v>
      </c>
      <c r="D147" s="106">
        <v>1149000</v>
      </c>
      <c r="E147" s="106">
        <v>120000</v>
      </c>
      <c r="F147" s="117">
        <f t="shared" si="6"/>
        <v>1269000</v>
      </c>
      <c r="G147" s="106">
        <v>1149000</v>
      </c>
      <c r="H147" s="106">
        <v>120000</v>
      </c>
      <c r="I147" s="117">
        <f t="shared" si="8"/>
        <v>1269000</v>
      </c>
    </row>
    <row r="148" spans="1:9">
      <c r="A148" s="119">
        <v>61</v>
      </c>
      <c r="B148" s="119">
        <v>19</v>
      </c>
      <c r="C148" s="121" t="s">
        <v>130</v>
      </c>
      <c r="D148" s="106">
        <v>260618</v>
      </c>
      <c r="E148" s="106">
        <v>250000</v>
      </c>
      <c r="F148" s="117">
        <f t="shared" si="6"/>
        <v>510618</v>
      </c>
      <c r="G148" s="106"/>
      <c r="H148" s="106"/>
      <c r="I148" s="117">
        <f t="shared" si="8"/>
        <v>0</v>
      </c>
    </row>
    <row r="149" spans="1:9">
      <c r="A149" s="119">
        <v>62</v>
      </c>
      <c r="B149" s="119">
        <v>20</v>
      </c>
      <c r="C149" s="121" t="s">
        <v>131</v>
      </c>
      <c r="D149" s="106"/>
      <c r="E149" s="106"/>
      <c r="F149" s="117">
        <f t="shared" si="6"/>
        <v>0</v>
      </c>
      <c r="G149" s="106">
        <v>739873</v>
      </c>
      <c r="H149" s="106">
        <v>190000</v>
      </c>
      <c r="I149" s="117">
        <f t="shared" si="8"/>
        <v>929873</v>
      </c>
    </row>
    <row r="150" spans="1:9">
      <c r="A150" s="108" t="s">
        <v>58</v>
      </c>
      <c r="B150" s="109"/>
      <c r="C150" s="109"/>
      <c r="D150" s="110">
        <f>SUM(D130:D149)</f>
        <v>14718620</v>
      </c>
      <c r="E150" s="110">
        <f>SUM(E130:E149)</f>
        <v>3277835</v>
      </c>
      <c r="F150" s="110">
        <f>SUM(D150:E150)</f>
        <v>17996455</v>
      </c>
      <c r="G150" s="110">
        <f>SUM(G130:G149)</f>
        <v>12379373</v>
      </c>
      <c r="H150" s="110">
        <f>SUM(H130:H149)</f>
        <v>2863835</v>
      </c>
      <c r="I150" s="110">
        <f>SUM(G150:H150)</f>
        <v>15243208</v>
      </c>
    </row>
    <row r="151" spans="1:9">
      <c r="A151" s="126" t="s">
        <v>132</v>
      </c>
      <c r="B151" s="127"/>
      <c r="C151" s="127"/>
      <c r="D151" s="127"/>
      <c r="E151" s="127"/>
      <c r="F151" s="127"/>
      <c r="G151" s="127"/>
      <c r="H151" s="127"/>
      <c r="I151" s="128"/>
    </row>
    <row r="152" spans="1:9">
      <c r="A152" s="119">
        <v>63</v>
      </c>
      <c r="B152" s="119">
        <v>1</v>
      </c>
      <c r="C152" s="125" t="s">
        <v>133</v>
      </c>
      <c r="D152" s="106">
        <v>1501595</v>
      </c>
      <c r="E152" s="106">
        <v>905800</v>
      </c>
      <c r="F152" s="117">
        <f>SUM(D152:E152)</f>
        <v>2407395</v>
      </c>
      <c r="G152" s="106">
        <v>1501595</v>
      </c>
      <c r="H152" s="106">
        <v>895800</v>
      </c>
      <c r="I152" s="117">
        <f>SUM(G152:H152)</f>
        <v>2397395</v>
      </c>
    </row>
    <row r="153" spans="1:9">
      <c r="A153" s="119">
        <v>64</v>
      </c>
      <c r="B153" s="119">
        <v>2</v>
      </c>
      <c r="C153" s="125" t="s">
        <v>134</v>
      </c>
      <c r="D153" s="106">
        <v>258500</v>
      </c>
      <c r="E153" s="106">
        <v>263000</v>
      </c>
      <c r="F153" s="117">
        <f>SUM(D153:E153)</f>
        <v>521500</v>
      </c>
      <c r="G153" s="106">
        <v>258500</v>
      </c>
      <c r="H153" s="106">
        <v>263000</v>
      </c>
      <c r="I153" s="117">
        <f>SUM(G153:H153)</f>
        <v>521500</v>
      </c>
    </row>
    <row r="154" spans="1:9">
      <c r="A154" s="119">
        <v>65</v>
      </c>
      <c r="B154" s="119">
        <v>3</v>
      </c>
      <c r="C154" s="125" t="s">
        <v>135</v>
      </c>
      <c r="D154" s="106"/>
      <c r="E154" s="106"/>
      <c r="F154" s="117">
        <f t="shared" ref="F154:F171" si="9">SUM(D154:E154)</f>
        <v>0</v>
      </c>
      <c r="G154" s="106">
        <f>1425700+1353200</f>
        <v>2778900</v>
      </c>
      <c r="H154" s="106">
        <f>1247500+1247500</f>
        <v>2495000</v>
      </c>
      <c r="I154" s="117">
        <f t="shared" ref="I154:I171" si="10">SUM(G154:H154)</f>
        <v>5273900</v>
      </c>
    </row>
    <row r="155" spans="1:9">
      <c r="A155" s="119">
        <v>66</v>
      </c>
      <c r="B155" s="119">
        <v>4</v>
      </c>
      <c r="C155" s="125" t="s">
        <v>136</v>
      </c>
      <c r="D155" s="106"/>
      <c r="E155" s="106">
        <v>300000</v>
      </c>
      <c r="F155" s="117">
        <f t="shared" si="9"/>
        <v>300000</v>
      </c>
      <c r="G155" s="106"/>
      <c r="H155" s="106"/>
      <c r="I155" s="117">
        <f t="shared" si="10"/>
        <v>0</v>
      </c>
    </row>
    <row r="156" spans="1:9">
      <c r="A156" s="119">
        <v>67</v>
      </c>
      <c r="B156" s="119">
        <v>5</v>
      </c>
      <c r="C156" s="129" t="s">
        <v>137</v>
      </c>
      <c r="D156" s="106"/>
      <c r="E156" s="106"/>
      <c r="F156" s="117">
        <f t="shared" si="9"/>
        <v>0</v>
      </c>
      <c r="G156" s="106">
        <v>1026000</v>
      </c>
      <c r="H156" s="106">
        <f>300000+300000</f>
        <v>600000</v>
      </c>
      <c r="I156" s="117">
        <f t="shared" si="10"/>
        <v>1626000</v>
      </c>
    </row>
    <row r="157" spans="1:9">
      <c r="A157" s="119">
        <v>68</v>
      </c>
      <c r="B157" s="119">
        <v>6</v>
      </c>
      <c r="C157" s="125" t="s">
        <v>138</v>
      </c>
      <c r="D157" s="106">
        <v>794000</v>
      </c>
      <c r="E157" s="106">
        <v>1376500</v>
      </c>
      <c r="F157" s="117">
        <f t="shared" si="9"/>
        <v>2170500</v>
      </c>
      <c r="G157" s="106">
        <v>794000</v>
      </c>
      <c r="H157" s="106"/>
      <c r="I157" s="117">
        <f t="shared" si="10"/>
        <v>794000</v>
      </c>
    </row>
    <row r="158" spans="1:9">
      <c r="A158" s="119">
        <v>69</v>
      </c>
      <c r="B158" s="119">
        <v>7</v>
      </c>
      <c r="C158" s="125" t="s">
        <v>139</v>
      </c>
      <c r="D158" s="106">
        <v>337000</v>
      </c>
      <c r="E158" s="106">
        <v>450000</v>
      </c>
      <c r="F158" s="117">
        <f t="shared" si="9"/>
        <v>787000</v>
      </c>
      <c r="G158" s="106">
        <v>337000</v>
      </c>
      <c r="H158" s="106">
        <v>450000</v>
      </c>
      <c r="I158" s="117">
        <f t="shared" si="10"/>
        <v>787000</v>
      </c>
    </row>
    <row r="159" spans="1:9">
      <c r="A159" s="119">
        <v>70</v>
      </c>
      <c r="B159" s="119">
        <v>8</v>
      </c>
      <c r="C159" s="125" t="s">
        <v>140</v>
      </c>
      <c r="D159" s="106">
        <v>561700</v>
      </c>
      <c r="E159" s="106">
        <v>939000</v>
      </c>
      <c r="F159" s="117">
        <f t="shared" si="9"/>
        <v>1500700</v>
      </c>
      <c r="G159" s="106">
        <v>561700</v>
      </c>
      <c r="H159" s="106">
        <v>939000</v>
      </c>
      <c r="I159" s="117">
        <f t="shared" si="10"/>
        <v>1500700</v>
      </c>
    </row>
    <row r="160" spans="1:9">
      <c r="A160" s="119">
        <v>71</v>
      </c>
      <c r="B160" s="119">
        <v>9</v>
      </c>
      <c r="C160" s="125" t="s">
        <v>141</v>
      </c>
      <c r="D160" s="106">
        <v>351000</v>
      </c>
      <c r="E160" s="106">
        <v>495000</v>
      </c>
      <c r="F160" s="117">
        <f t="shared" si="9"/>
        <v>846000</v>
      </c>
      <c r="G160" s="106">
        <v>351000</v>
      </c>
      <c r="H160" s="106">
        <v>495000</v>
      </c>
      <c r="I160" s="117">
        <f t="shared" si="10"/>
        <v>846000</v>
      </c>
    </row>
    <row r="161" spans="1:9">
      <c r="A161" s="119">
        <v>72</v>
      </c>
      <c r="B161" s="119">
        <v>10</v>
      </c>
      <c r="C161" s="125" t="s">
        <v>142</v>
      </c>
      <c r="D161" s="106">
        <v>357100</v>
      </c>
      <c r="E161" s="106">
        <v>74000</v>
      </c>
      <c r="F161" s="117">
        <f t="shared" si="9"/>
        <v>431100</v>
      </c>
      <c r="G161" s="106">
        <v>357100</v>
      </c>
      <c r="H161" s="106">
        <v>74000</v>
      </c>
      <c r="I161" s="117">
        <f t="shared" si="10"/>
        <v>431100</v>
      </c>
    </row>
    <row r="162" spans="1:9">
      <c r="A162" s="119">
        <v>73</v>
      </c>
      <c r="B162" s="119">
        <v>11</v>
      </c>
      <c r="C162" s="125" t="s">
        <v>143</v>
      </c>
      <c r="D162" s="106">
        <v>630000</v>
      </c>
      <c r="E162" s="106">
        <v>200000</v>
      </c>
      <c r="F162" s="117">
        <f t="shared" si="9"/>
        <v>830000</v>
      </c>
      <c r="G162" s="106">
        <v>200000</v>
      </c>
      <c r="H162" s="106">
        <v>600000</v>
      </c>
      <c r="I162" s="117">
        <f t="shared" si="10"/>
        <v>800000</v>
      </c>
    </row>
    <row r="163" spans="1:9">
      <c r="A163" s="119">
        <v>74</v>
      </c>
      <c r="B163" s="119">
        <v>12</v>
      </c>
      <c r="C163" s="125" t="s">
        <v>144</v>
      </c>
      <c r="D163" s="106">
        <v>185000</v>
      </c>
      <c r="E163" s="106">
        <v>819000</v>
      </c>
      <c r="F163" s="117">
        <f t="shared" si="9"/>
        <v>1004000</v>
      </c>
      <c r="G163" s="106">
        <v>185000</v>
      </c>
      <c r="H163" s="106">
        <v>819000</v>
      </c>
      <c r="I163" s="117">
        <f t="shared" si="10"/>
        <v>1004000</v>
      </c>
    </row>
    <row r="164" spans="1:9">
      <c r="A164" s="119">
        <v>75</v>
      </c>
      <c r="B164" s="119">
        <v>13</v>
      </c>
      <c r="C164" s="125" t="s">
        <v>145</v>
      </c>
      <c r="D164" s="219"/>
      <c r="E164" s="219">
        <v>500000</v>
      </c>
      <c r="F164" s="117">
        <f t="shared" si="9"/>
        <v>500000</v>
      </c>
      <c r="G164" s="219"/>
      <c r="H164" s="219">
        <v>500000</v>
      </c>
      <c r="I164" s="117">
        <f t="shared" si="10"/>
        <v>500000</v>
      </c>
    </row>
    <row r="165" spans="1:9">
      <c r="A165" s="119">
        <v>76</v>
      </c>
      <c r="B165" s="119">
        <v>14</v>
      </c>
      <c r="C165" s="129" t="s">
        <v>146</v>
      </c>
      <c r="D165" s="106"/>
      <c r="E165" s="106"/>
      <c r="F165" s="117">
        <f t="shared" si="9"/>
        <v>0</v>
      </c>
      <c r="G165" s="106"/>
      <c r="H165" s="106"/>
      <c r="I165" s="117">
        <f t="shared" si="10"/>
        <v>0</v>
      </c>
    </row>
    <row r="166" spans="1:9">
      <c r="A166" s="119">
        <v>77</v>
      </c>
      <c r="B166" s="119">
        <v>15</v>
      </c>
      <c r="C166" s="125" t="s">
        <v>147</v>
      </c>
      <c r="D166" s="106"/>
      <c r="E166" s="106">
        <v>1036000</v>
      </c>
      <c r="F166" s="117">
        <f t="shared" si="9"/>
        <v>1036000</v>
      </c>
      <c r="G166" s="106"/>
      <c r="H166" s="106">
        <v>1036000</v>
      </c>
      <c r="I166" s="117">
        <f t="shared" si="10"/>
        <v>1036000</v>
      </c>
    </row>
    <row r="167" spans="1:9">
      <c r="A167" s="119">
        <v>78</v>
      </c>
      <c r="B167" s="119">
        <v>16</v>
      </c>
      <c r="C167" s="125" t="s">
        <v>148</v>
      </c>
      <c r="D167" s="106"/>
      <c r="E167" s="106"/>
      <c r="F167" s="117">
        <f t="shared" si="9"/>
        <v>0</v>
      </c>
      <c r="G167" s="106"/>
      <c r="H167" s="106">
        <v>2289000</v>
      </c>
      <c r="I167" s="117">
        <f t="shared" si="10"/>
        <v>2289000</v>
      </c>
    </row>
    <row r="168" spans="1:9">
      <c r="A168" s="119">
        <v>79</v>
      </c>
      <c r="B168" s="119">
        <v>17</v>
      </c>
      <c r="C168" s="125" t="s">
        <v>149</v>
      </c>
      <c r="D168" s="106"/>
      <c r="E168" s="106">
        <v>763000</v>
      </c>
      <c r="F168" s="117">
        <f t="shared" si="9"/>
        <v>763000</v>
      </c>
      <c r="G168" s="106"/>
      <c r="H168" s="106">
        <v>763000</v>
      </c>
      <c r="I168" s="117">
        <f t="shared" si="10"/>
        <v>763000</v>
      </c>
    </row>
    <row r="169" spans="1:9">
      <c r="A169" s="119">
        <v>80</v>
      </c>
      <c r="B169" s="119">
        <v>18</v>
      </c>
      <c r="C169" s="121" t="s">
        <v>150</v>
      </c>
      <c r="D169" s="106">
        <v>229042</v>
      </c>
      <c r="E169" s="106">
        <v>2608380</v>
      </c>
      <c r="F169" s="117">
        <f t="shared" si="9"/>
        <v>2837422</v>
      </c>
      <c r="G169" s="106"/>
      <c r="H169" s="106"/>
      <c r="I169" s="117">
        <f t="shared" si="10"/>
        <v>0</v>
      </c>
    </row>
    <row r="170" spans="1:9">
      <c r="A170" s="119">
        <v>81</v>
      </c>
      <c r="B170" s="119">
        <v>19</v>
      </c>
      <c r="C170" s="121" t="s">
        <v>151</v>
      </c>
      <c r="D170" s="106">
        <v>859100</v>
      </c>
      <c r="E170" s="106">
        <v>125000</v>
      </c>
      <c r="F170" s="117">
        <f t="shared" si="9"/>
        <v>984100</v>
      </c>
      <c r="G170" s="106">
        <v>854100</v>
      </c>
      <c r="H170" s="106">
        <v>125000</v>
      </c>
      <c r="I170" s="117">
        <f t="shared" si="10"/>
        <v>979100</v>
      </c>
    </row>
    <row r="171" spans="1:9">
      <c r="A171" s="119">
        <v>82</v>
      </c>
      <c r="B171" s="119">
        <v>20</v>
      </c>
      <c r="C171" s="121" t="s">
        <v>152</v>
      </c>
      <c r="D171" s="106">
        <v>309000</v>
      </c>
      <c r="E171" s="106">
        <v>703000</v>
      </c>
      <c r="F171" s="117">
        <f t="shared" si="9"/>
        <v>1012000</v>
      </c>
      <c r="G171" s="106">
        <v>307000</v>
      </c>
      <c r="H171" s="106">
        <v>703000</v>
      </c>
      <c r="I171" s="117">
        <f t="shared" si="10"/>
        <v>1010000</v>
      </c>
    </row>
    <row r="172" spans="1:9">
      <c r="A172" s="108" t="s">
        <v>58</v>
      </c>
      <c r="B172" s="109"/>
      <c r="C172" s="109"/>
      <c r="D172" s="110">
        <f>SUM(D152:D171)</f>
        <v>6373037</v>
      </c>
      <c r="E172" s="110">
        <f>SUM(E152:E171)</f>
        <v>11557680</v>
      </c>
      <c r="F172" s="110">
        <f>SUM(D172:E172)</f>
        <v>17930717</v>
      </c>
      <c r="G172" s="110">
        <f>SUM(G152:G171)</f>
        <v>9511895</v>
      </c>
      <c r="H172" s="110">
        <f>SUM(H152:H171)</f>
        <v>13046800</v>
      </c>
      <c r="I172" s="110">
        <f>SUM(G172:H172)</f>
        <v>22558695</v>
      </c>
    </row>
    <row r="173" spans="1:9">
      <c r="A173" s="108" t="s">
        <v>153</v>
      </c>
      <c r="B173" s="109"/>
      <c r="C173" s="109"/>
      <c r="D173" s="109"/>
      <c r="E173" s="109"/>
      <c r="F173" s="109"/>
      <c r="G173" s="109"/>
      <c r="H173" s="109"/>
      <c r="I173" s="113"/>
    </row>
    <row r="174" spans="1:9">
      <c r="A174" s="119">
        <v>83</v>
      </c>
      <c r="B174" s="119">
        <v>1</v>
      </c>
      <c r="C174" s="121" t="s">
        <v>154</v>
      </c>
      <c r="D174" s="106">
        <v>1396708</v>
      </c>
      <c r="E174" s="106">
        <v>105500</v>
      </c>
      <c r="F174" s="117">
        <f>SUM(D174:E174)</f>
        <v>1502208</v>
      </c>
      <c r="G174" s="106">
        <v>1396708</v>
      </c>
      <c r="H174" s="106">
        <v>105500</v>
      </c>
      <c r="I174" s="117">
        <f>SUM(G174:H174)</f>
        <v>1502208</v>
      </c>
    </row>
    <row r="175" spans="1:9">
      <c r="A175" s="119">
        <v>84</v>
      </c>
      <c r="B175" s="119">
        <v>2</v>
      </c>
      <c r="C175" s="121" t="s">
        <v>155</v>
      </c>
      <c r="D175" s="106"/>
      <c r="E175" s="106">
        <v>30000</v>
      </c>
      <c r="F175" s="117">
        <f t="shared" ref="F175:F196" si="11">SUM(D175:E175)</f>
        <v>30000</v>
      </c>
      <c r="G175" s="106"/>
      <c r="H175" s="106">
        <v>30000</v>
      </c>
      <c r="I175" s="117">
        <f t="shared" ref="I175:I193" si="12">SUM(G175:H175)</f>
        <v>30000</v>
      </c>
    </row>
    <row r="176" spans="1:9">
      <c r="A176" s="119">
        <v>85</v>
      </c>
      <c r="B176" s="119">
        <v>3</v>
      </c>
      <c r="C176" s="121" t="s">
        <v>156</v>
      </c>
      <c r="D176" s="106"/>
      <c r="E176" s="106">
        <f>265000+40000</f>
        <v>305000</v>
      </c>
      <c r="F176" s="117">
        <f t="shared" si="11"/>
        <v>305000</v>
      </c>
      <c r="G176" s="106"/>
      <c r="H176" s="106">
        <f>240000+45000+80000</f>
        <v>365000</v>
      </c>
      <c r="I176" s="117">
        <f t="shared" si="12"/>
        <v>365000</v>
      </c>
    </row>
    <row r="177" spans="1:9">
      <c r="A177" s="119">
        <v>86</v>
      </c>
      <c r="B177" s="119">
        <v>4</v>
      </c>
      <c r="C177" s="121" t="s">
        <v>157</v>
      </c>
      <c r="D177" s="106">
        <v>290000</v>
      </c>
      <c r="E177" s="106">
        <v>60000</v>
      </c>
      <c r="F177" s="117">
        <f t="shared" si="11"/>
        <v>350000</v>
      </c>
      <c r="G177" s="106"/>
      <c r="H177" s="106"/>
      <c r="I177" s="117">
        <f t="shared" si="12"/>
        <v>0</v>
      </c>
    </row>
    <row r="178" spans="1:9">
      <c r="A178" s="119">
        <v>87</v>
      </c>
      <c r="B178" s="119">
        <v>5</v>
      </c>
      <c r="C178" s="121" t="s">
        <v>158</v>
      </c>
      <c r="D178" s="106"/>
      <c r="E178" s="106"/>
      <c r="F178" s="117">
        <f t="shared" si="11"/>
        <v>0</v>
      </c>
      <c r="G178" s="106"/>
      <c r="H178" s="106"/>
      <c r="I178" s="117">
        <f t="shared" si="12"/>
        <v>0</v>
      </c>
    </row>
    <row r="179" spans="1:9">
      <c r="A179" s="119">
        <v>88</v>
      </c>
      <c r="B179" s="119">
        <v>6</v>
      </c>
      <c r="C179" s="125" t="s">
        <v>159</v>
      </c>
      <c r="D179" s="106">
        <v>20000000</v>
      </c>
      <c r="E179" s="106"/>
      <c r="F179" s="117">
        <f t="shared" si="11"/>
        <v>20000000</v>
      </c>
      <c r="G179" s="106">
        <v>20000000</v>
      </c>
      <c r="H179" s="106"/>
      <c r="I179" s="117">
        <f t="shared" si="12"/>
        <v>20000000</v>
      </c>
    </row>
    <row r="180" spans="1:9">
      <c r="A180" s="119">
        <v>89</v>
      </c>
      <c r="B180" s="119">
        <v>7</v>
      </c>
      <c r="C180" s="121" t="s">
        <v>160</v>
      </c>
      <c r="D180" s="106"/>
      <c r="E180" s="106"/>
      <c r="F180" s="117">
        <f t="shared" si="11"/>
        <v>0</v>
      </c>
      <c r="G180" s="106"/>
      <c r="H180" s="106"/>
      <c r="I180" s="117">
        <f t="shared" si="12"/>
        <v>0</v>
      </c>
    </row>
    <row r="181" spans="1:9">
      <c r="A181" s="119">
        <v>90</v>
      </c>
      <c r="B181" s="119">
        <v>8</v>
      </c>
      <c r="C181" s="121" t="s">
        <v>161</v>
      </c>
      <c r="D181" s="106"/>
      <c r="E181" s="106"/>
      <c r="F181" s="117">
        <f t="shared" si="11"/>
        <v>0</v>
      </c>
      <c r="G181" s="106"/>
      <c r="H181" s="106"/>
      <c r="I181" s="117">
        <f t="shared" si="12"/>
        <v>0</v>
      </c>
    </row>
    <row r="182" spans="1:9">
      <c r="A182" s="119">
        <v>91</v>
      </c>
      <c r="B182" s="119">
        <v>9</v>
      </c>
      <c r="C182" s="121" t="s">
        <v>162</v>
      </c>
      <c r="D182" s="106"/>
      <c r="E182" s="106"/>
      <c r="F182" s="117">
        <f t="shared" si="11"/>
        <v>0</v>
      </c>
      <c r="G182" s="106"/>
      <c r="H182" s="106"/>
      <c r="I182" s="117">
        <f t="shared" si="12"/>
        <v>0</v>
      </c>
    </row>
    <row r="183" spans="1:9">
      <c r="A183" s="119">
        <v>92</v>
      </c>
      <c r="B183" s="119">
        <v>10</v>
      </c>
      <c r="C183" s="121" t="s">
        <v>163</v>
      </c>
      <c r="D183" s="106"/>
      <c r="E183" s="106"/>
      <c r="F183" s="117">
        <f t="shared" si="11"/>
        <v>0</v>
      </c>
      <c r="G183" s="106"/>
      <c r="H183" s="106"/>
      <c r="I183" s="117">
        <f t="shared" si="12"/>
        <v>0</v>
      </c>
    </row>
    <row r="184" spans="1:9">
      <c r="A184" s="119">
        <v>93</v>
      </c>
      <c r="B184" s="119">
        <v>11</v>
      </c>
      <c r="C184" s="121" t="s">
        <v>164</v>
      </c>
      <c r="D184" s="106">
        <v>9254135</v>
      </c>
      <c r="E184" s="106"/>
      <c r="F184" s="117">
        <f t="shared" si="11"/>
        <v>9254135</v>
      </c>
      <c r="G184" s="106">
        <v>8929502</v>
      </c>
      <c r="H184" s="106"/>
      <c r="I184" s="117">
        <f t="shared" si="12"/>
        <v>8929502</v>
      </c>
    </row>
    <row r="185" spans="1:9">
      <c r="A185" s="119">
        <v>94</v>
      </c>
      <c r="B185" s="119">
        <v>12</v>
      </c>
      <c r="C185" s="121" t="s">
        <v>165</v>
      </c>
      <c r="D185" s="106"/>
      <c r="E185" s="106"/>
      <c r="F185" s="117">
        <f t="shared" si="11"/>
        <v>0</v>
      </c>
      <c r="G185" s="106"/>
      <c r="H185" s="106"/>
      <c r="I185" s="117">
        <f t="shared" si="12"/>
        <v>0</v>
      </c>
    </row>
    <row r="186" spans="1:9">
      <c r="A186" s="119">
        <v>95</v>
      </c>
      <c r="B186" s="119">
        <v>13</v>
      </c>
      <c r="C186" s="121" t="s">
        <v>166</v>
      </c>
      <c r="D186" s="106"/>
      <c r="E186" s="106">
        <f>86000+86000</f>
        <v>172000</v>
      </c>
      <c r="F186" s="117">
        <f t="shared" si="11"/>
        <v>172000</v>
      </c>
      <c r="G186" s="106"/>
      <c r="H186" s="106"/>
      <c r="I186" s="117">
        <f t="shared" si="12"/>
        <v>0</v>
      </c>
    </row>
    <row r="187" spans="1:9">
      <c r="A187" s="119">
        <v>96</v>
      </c>
      <c r="B187" s="119">
        <v>14</v>
      </c>
      <c r="C187" s="121" t="s">
        <v>167</v>
      </c>
      <c r="D187" s="106"/>
      <c r="E187" s="106">
        <f>70500+70500</f>
        <v>141000</v>
      </c>
      <c r="F187" s="117">
        <f t="shared" si="11"/>
        <v>141000</v>
      </c>
      <c r="G187" s="106"/>
      <c r="H187" s="106">
        <v>70000</v>
      </c>
      <c r="I187" s="117">
        <f t="shared" si="12"/>
        <v>70000</v>
      </c>
    </row>
    <row r="188" spans="1:9">
      <c r="A188" s="119">
        <v>97</v>
      </c>
      <c r="B188" s="119">
        <v>15</v>
      </c>
      <c r="C188" s="121" t="s">
        <v>168</v>
      </c>
      <c r="D188" s="106">
        <v>350000</v>
      </c>
      <c r="E188" s="106">
        <v>398000</v>
      </c>
      <c r="F188" s="117">
        <f t="shared" si="11"/>
        <v>748000</v>
      </c>
      <c r="G188" s="106">
        <f>118000+357000</f>
        <v>475000</v>
      </c>
      <c r="H188" s="106">
        <v>398000</v>
      </c>
      <c r="I188" s="117">
        <f t="shared" si="12"/>
        <v>873000</v>
      </c>
    </row>
    <row r="189" spans="1:9">
      <c r="A189" s="119">
        <v>98</v>
      </c>
      <c r="B189" s="119">
        <v>16</v>
      </c>
      <c r="C189" s="121" t="s">
        <v>428</v>
      </c>
      <c r="D189" s="106">
        <v>997100</v>
      </c>
      <c r="E189" s="106">
        <f>340000+404000</f>
        <v>744000</v>
      </c>
      <c r="F189" s="117">
        <f t="shared" si="11"/>
        <v>1741100</v>
      </c>
      <c r="G189" s="106">
        <v>997100</v>
      </c>
      <c r="H189" s="106">
        <f>340000+403000</f>
        <v>743000</v>
      </c>
      <c r="I189" s="117">
        <f t="shared" si="12"/>
        <v>1740100</v>
      </c>
    </row>
    <row r="190" spans="1:9">
      <c r="A190" s="119">
        <v>99</v>
      </c>
      <c r="B190" s="119">
        <v>17</v>
      </c>
      <c r="C190" s="121" t="s">
        <v>170</v>
      </c>
      <c r="D190" s="106"/>
      <c r="E190" s="106"/>
      <c r="F190" s="117">
        <f t="shared" si="11"/>
        <v>0</v>
      </c>
      <c r="G190" s="106"/>
      <c r="H190" s="106"/>
      <c r="I190" s="117">
        <f t="shared" si="12"/>
        <v>0</v>
      </c>
    </row>
    <row r="191" spans="1:9">
      <c r="A191" s="119">
        <v>100</v>
      </c>
      <c r="B191" s="119">
        <v>18</v>
      </c>
      <c r="C191" s="121" t="s">
        <v>171</v>
      </c>
      <c r="D191" s="106"/>
      <c r="E191" s="106"/>
      <c r="F191" s="117">
        <f t="shared" si="11"/>
        <v>0</v>
      </c>
      <c r="G191" s="106"/>
      <c r="H191" s="106"/>
      <c r="I191" s="117">
        <f t="shared" si="12"/>
        <v>0</v>
      </c>
    </row>
    <row r="192" spans="1:9">
      <c r="A192" s="119">
        <v>101</v>
      </c>
      <c r="B192" s="119">
        <v>19</v>
      </c>
      <c r="C192" s="121" t="s">
        <v>172</v>
      </c>
      <c r="D192" s="106"/>
      <c r="E192" s="106"/>
      <c r="F192" s="117">
        <f t="shared" si="11"/>
        <v>0</v>
      </c>
      <c r="G192" s="106"/>
      <c r="H192" s="106"/>
      <c r="I192" s="117">
        <f t="shared" si="12"/>
        <v>0</v>
      </c>
    </row>
    <row r="193" spans="1:9">
      <c r="A193" s="119">
        <v>102</v>
      </c>
      <c r="B193" s="119">
        <v>20</v>
      </c>
      <c r="C193" s="121" t="s">
        <v>173</v>
      </c>
      <c r="D193" s="106"/>
      <c r="E193" s="106"/>
      <c r="F193" s="117">
        <f t="shared" si="11"/>
        <v>0</v>
      </c>
      <c r="G193" s="106"/>
      <c r="H193" s="106"/>
      <c r="I193" s="117">
        <f t="shared" si="12"/>
        <v>0</v>
      </c>
    </row>
    <row r="194" spans="1:9">
      <c r="A194" s="119">
        <v>103</v>
      </c>
      <c r="B194" s="119">
        <v>21</v>
      </c>
      <c r="C194" s="121" t="s">
        <v>174</v>
      </c>
      <c r="D194" s="106"/>
      <c r="E194" s="106"/>
      <c r="F194" s="117">
        <f>SUM(D194:E194)</f>
        <v>0</v>
      </c>
      <c r="G194" s="106"/>
      <c r="H194" s="106"/>
      <c r="I194" s="117">
        <f>SUM(G194:H194)</f>
        <v>0</v>
      </c>
    </row>
    <row r="195" spans="1:9">
      <c r="A195" s="119">
        <v>104</v>
      </c>
      <c r="B195" s="119">
        <v>22</v>
      </c>
      <c r="C195" s="121" t="s">
        <v>175</v>
      </c>
      <c r="D195" s="106"/>
      <c r="E195" s="106"/>
      <c r="F195" s="117">
        <f t="shared" si="11"/>
        <v>0</v>
      </c>
      <c r="G195" s="106"/>
      <c r="H195" s="106"/>
      <c r="I195" s="117">
        <f>SUM(G195:H195)</f>
        <v>0</v>
      </c>
    </row>
    <row r="196" spans="1:9">
      <c r="A196" s="119">
        <v>105</v>
      </c>
      <c r="B196" s="119">
        <v>23</v>
      </c>
      <c r="C196" s="121" t="s">
        <v>176</v>
      </c>
      <c r="D196" s="106"/>
      <c r="E196" s="106"/>
      <c r="F196" s="117">
        <f t="shared" si="11"/>
        <v>0</v>
      </c>
      <c r="G196" s="106"/>
      <c r="H196" s="106"/>
      <c r="I196" s="117">
        <f>SUM(G196:H196)</f>
        <v>0</v>
      </c>
    </row>
    <row r="197" spans="1:9">
      <c r="A197" s="108" t="s">
        <v>58</v>
      </c>
      <c r="B197" s="109"/>
      <c r="C197" s="109"/>
      <c r="D197" s="110">
        <f>SUM(D174:D196)</f>
        <v>32287943</v>
      </c>
      <c r="E197" s="110">
        <f>SUM(E174:E196)</f>
        <v>1955500</v>
      </c>
      <c r="F197" s="110">
        <f>SUM(D197:E197)</f>
        <v>34243443</v>
      </c>
      <c r="G197" s="110">
        <f>SUM(G174:G196)</f>
        <v>31798310</v>
      </c>
      <c r="H197" s="110">
        <f>SUM(H174:H196)</f>
        <v>1711500</v>
      </c>
      <c r="I197" s="110">
        <f>SUM(G197:H197)</f>
        <v>33509810</v>
      </c>
    </row>
    <row r="198" spans="1:9">
      <c r="A198" s="108" t="s">
        <v>177</v>
      </c>
      <c r="B198" s="109"/>
      <c r="C198" s="109"/>
      <c r="D198" s="109"/>
      <c r="E198" s="109"/>
      <c r="F198" s="109"/>
      <c r="G198" s="109"/>
      <c r="H198" s="109"/>
      <c r="I198" s="113"/>
    </row>
    <row r="199" spans="1:9">
      <c r="A199" s="119">
        <v>106</v>
      </c>
      <c r="B199" s="119">
        <v>1</v>
      </c>
      <c r="C199" s="105" t="s">
        <v>178</v>
      </c>
      <c r="D199" s="106"/>
      <c r="E199" s="106">
        <v>578000</v>
      </c>
      <c r="F199" s="117">
        <f>SUM(D199:E199)</f>
        <v>578000</v>
      </c>
      <c r="G199" s="106"/>
      <c r="H199" s="106"/>
      <c r="I199" s="117">
        <f>SUM(G199:H199)</f>
        <v>0</v>
      </c>
    </row>
    <row r="200" spans="1:9">
      <c r="A200" s="119">
        <v>107</v>
      </c>
      <c r="B200" s="119">
        <v>2</v>
      </c>
      <c r="C200" s="120" t="s">
        <v>179</v>
      </c>
      <c r="D200" s="106">
        <v>348790</v>
      </c>
      <c r="E200" s="106">
        <v>72200</v>
      </c>
      <c r="F200" s="117">
        <f t="shared" ref="F200:F252" si="13">SUM(D200:E200)</f>
        <v>420990</v>
      </c>
      <c r="G200" s="106">
        <v>348790</v>
      </c>
      <c r="H200" s="106">
        <v>72200</v>
      </c>
      <c r="I200" s="117">
        <f t="shared" ref="I200:I208" si="14">SUM(G200:H200)</f>
        <v>420990</v>
      </c>
    </row>
    <row r="201" spans="1:9">
      <c r="A201" s="119">
        <v>108</v>
      </c>
      <c r="B201" s="119">
        <v>3</v>
      </c>
      <c r="C201" s="120" t="s">
        <v>180</v>
      </c>
      <c r="D201" s="106"/>
      <c r="E201" s="106">
        <v>90000</v>
      </c>
      <c r="F201" s="117">
        <f t="shared" si="13"/>
        <v>90000</v>
      </c>
      <c r="G201" s="106"/>
      <c r="H201" s="106">
        <v>90000</v>
      </c>
      <c r="I201" s="117">
        <f t="shared" si="14"/>
        <v>90000</v>
      </c>
    </row>
    <row r="202" spans="1:9">
      <c r="A202" s="119">
        <v>109</v>
      </c>
      <c r="B202" s="119">
        <v>4</v>
      </c>
      <c r="C202" s="105" t="s">
        <v>181</v>
      </c>
      <c r="D202" s="106">
        <v>821400</v>
      </c>
      <c r="E202" s="106">
        <v>82000</v>
      </c>
      <c r="F202" s="117">
        <f t="shared" si="13"/>
        <v>903400</v>
      </c>
      <c r="G202" s="106">
        <v>432700</v>
      </c>
      <c r="H202" s="106">
        <v>42000</v>
      </c>
      <c r="I202" s="117">
        <f t="shared" si="14"/>
        <v>474700</v>
      </c>
    </row>
    <row r="203" spans="1:9">
      <c r="A203" s="119">
        <v>110</v>
      </c>
      <c r="B203" s="119">
        <v>5</v>
      </c>
      <c r="C203" s="130" t="s">
        <v>182</v>
      </c>
      <c r="D203" s="106"/>
      <c r="E203" s="106"/>
      <c r="F203" s="117">
        <f t="shared" si="13"/>
        <v>0</v>
      </c>
      <c r="G203" s="106"/>
      <c r="H203" s="106"/>
      <c r="I203" s="117">
        <f t="shared" si="14"/>
        <v>0</v>
      </c>
    </row>
    <row r="204" spans="1:9">
      <c r="A204" s="119">
        <v>111</v>
      </c>
      <c r="B204" s="119">
        <v>6</v>
      </c>
      <c r="C204" s="130" t="s">
        <v>183</v>
      </c>
      <c r="D204" s="106">
        <v>190075</v>
      </c>
      <c r="E204" s="106">
        <v>350000</v>
      </c>
      <c r="F204" s="117">
        <f t="shared" si="13"/>
        <v>540075</v>
      </c>
      <c r="G204" s="106">
        <v>190100</v>
      </c>
      <c r="H204" s="106">
        <v>350000</v>
      </c>
      <c r="I204" s="117">
        <f t="shared" si="14"/>
        <v>540100</v>
      </c>
    </row>
    <row r="205" spans="1:9">
      <c r="A205" s="119">
        <v>112</v>
      </c>
      <c r="B205" s="119">
        <v>7</v>
      </c>
      <c r="C205" s="130" t="s">
        <v>184</v>
      </c>
      <c r="D205" s="106"/>
      <c r="E205" s="106"/>
      <c r="F205" s="117">
        <f t="shared" si="13"/>
        <v>0</v>
      </c>
      <c r="G205" s="106">
        <v>1104600</v>
      </c>
      <c r="H205" s="106">
        <v>753000</v>
      </c>
      <c r="I205" s="117">
        <f t="shared" si="14"/>
        <v>1857600</v>
      </c>
    </row>
    <row r="206" spans="1:9">
      <c r="A206" s="119">
        <v>113</v>
      </c>
      <c r="B206" s="119">
        <v>8</v>
      </c>
      <c r="C206" s="130" t="s">
        <v>185</v>
      </c>
      <c r="D206" s="106"/>
      <c r="E206" s="106"/>
      <c r="F206" s="117">
        <f t="shared" si="13"/>
        <v>0</v>
      </c>
      <c r="G206" s="106"/>
      <c r="H206" s="106"/>
      <c r="I206" s="117">
        <f t="shared" si="14"/>
        <v>0</v>
      </c>
    </row>
    <row r="207" spans="1:9">
      <c r="A207" s="119">
        <v>114</v>
      </c>
      <c r="B207" s="119">
        <v>9</v>
      </c>
      <c r="C207" s="130" t="s">
        <v>186</v>
      </c>
      <c r="D207" s="106"/>
      <c r="E207" s="106"/>
      <c r="F207" s="117">
        <f t="shared" si="13"/>
        <v>0</v>
      </c>
      <c r="G207" s="106"/>
      <c r="H207" s="106"/>
      <c r="I207" s="117">
        <f t="shared" si="14"/>
        <v>0</v>
      </c>
    </row>
    <row r="208" spans="1:9">
      <c r="A208" s="119">
        <v>115</v>
      </c>
      <c r="B208" s="119">
        <v>10</v>
      </c>
      <c r="C208" s="130" t="s">
        <v>187</v>
      </c>
      <c r="D208" s="106"/>
      <c r="E208" s="106">
        <f>317000+317000+322000</f>
        <v>956000</v>
      </c>
      <c r="F208" s="117">
        <f t="shared" si="13"/>
        <v>956000</v>
      </c>
      <c r="G208" s="106"/>
      <c r="H208" s="106"/>
      <c r="I208" s="117">
        <f t="shared" si="14"/>
        <v>0</v>
      </c>
    </row>
    <row r="209" spans="1:9">
      <c r="A209" s="119">
        <v>116</v>
      </c>
      <c r="B209" s="119">
        <v>11</v>
      </c>
      <c r="C209" s="310" t="s">
        <v>188</v>
      </c>
      <c r="E209" s="106">
        <f>400000+400000</f>
        <v>800000</v>
      </c>
      <c r="F209" s="117">
        <f>SUM(D209:E209)</f>
        <v>800000</v>
      </c>
      <c r="H209" s="106">
        <v>400000</v>
      </c>
      <c r="I209" s="117">
        <f>SUM(G209:H209)</f>
        <v>400000</v>
      </c>
    </row>
    <row r="210" spans="1:9">
      <c r="A210" s="119">
        <v>117</v>
      </c>
      <c r="B210" s="119">
        <v>12</v>
      </c>
      <c r="C210" s="130" t="s">
        <v>189</v>
      </c>
      <c r="D210" s="106">
        <v>76000</v>
      </c>
      <c r="E210" s="106">
        <v>300000</v>
      </c>
      <c r="F210" s="117">
        <f>SUM(D210:E210)</f>
        <v>376000</v>
      </c>
      <c r="G210" s="106">
        <v>76000</v>
      </c>
      <c r="H210" s="106">
        <v>300000</v>
      </c>
      <c r="I210" s="117">
        <f>SUM(G210:H210)</f>
        <v>376000</v>
      </c>
    </row>
    <row r="211" spans="1:9">
      <c r="A211" s="119">
        <v>118</v>
      </c>
      <c r="B211" s="119">
        <v>13</v>
      </c>
      <c r="C211" s="130" t="s">
        <v>190</v>
      </c>
      <c r="D211" s="106"/>
      <c r="E211" s="106"/>
      <c r="F211" s="117">
        <f t="shared" si="13"/>
        <v>0</v>
      </c>
      <c r="G211" s="106"/>
      <c r="H211" s="106"/>
      <c r="I211" s="117">
        <f t="shared" ref="I211:I252" si="15">SUM(G211:H211)</f>
        <v>0</v>
      </c>
    </row>
    <row r="212" spans="1:9">
      <c r="A212" s="119">
        <v>119</v>
      </c>
      <c r="B212" s="119">
        <v>14</v>
      </c>
      <c r="C212" s="130" t="s">
        <v>191</v>
      </c>
      <c r="D212" s="106"/>
      <c r="E212" s="106"/>
      <c r="F212" s="117">
        <f t="shared" si="13"/>
        <v>0</v>
      </c>
      <c r="G212" s="106"/>
      <c r="H212" s="106"/>
      <c r="I212" s="117">
        <f t="shared" si="15"/>
        <v>0</v>
      </c>
    </row>
    <row r="213" spans="1:9">
      <c r="A213" s="119">
        <v>120</v>
      </c>
      <c r="B213" s="119">
        <v>15</v>
      </c>
      <c r="C213" s="130" t="s">
        <v>192</v>
      </c>
      <c r="D213" s="106"/>
      <c r="E213" s="106">
        <v>26000</v>
      </c>
      <c r="F213" s="117">
        <f t="shared" si="13"/>
        <v>26000</v>
      </c>
      <c r="G213" s="106"/>
      <c r="H213" s="106">
        <v>26000</v>
      </c>
      <c r="I213" s="117">
        <f t="shared" si="15"/>
        <v>26000</v>
      </c>
    </row>
    <row r="214" spans="1:9">
      <c r="A214" s="119">
        <v>121</v>
      </c>
      <c r="B214" s="119">
        <v>16</v>
      </c>
      <c r="C214" s="130" t="s">
        <v>193</v>
      </c>
      <c r="D214" s="106"/>
      <c r="E214" s="106"/>
      <c r="F214" s="117">
        <f t="shared" si="13"/>
        <v>0</v>
      </c>
      <c r="G214" s="106"/>
      <c r="H214" s="106"/>
      <c r="I214" s="117">
        <f t="shared" si="15"/>
        <v>0</v>
      </c>
    </row>
    <row r="215" spans="1:9">
      <c r="A215" s="119">
        <v>122</v>
      </c>
      <c r="B215" s="119">
        <v>17</v>
      </c>
      <c r="C215" s="130" t="s">
        <v>194</v>
      </c>
      <c r="D215" s="106"/>
      <c r="E215" s="106">
        <v>27000</v>
      </c>
      <c r="F215" s="117">
        <f t="shared" si="13"/>
        <v>27000</v>
      </c>
      <c r="G215" s="106"/>
      <c r="H215" s="106">
        <v>27000</v>
      </c>
      <c r="I215" s="117">
        <f t="shared" si="15"/>
        <v>27000</v>
      </c>
    </row>
    <row r="216" spans="1:9">
      <c r="A216" s="119">
        <v>123</v>
      </c>
      <c r="B216" s="119">
        <v>18</v>
      </c>
      <c r="C216" s="130" t="s">
        <v>195</v>
      </c>
      <c r="D216" s="106"/>
      <c r="E216" s="106"/>
      <c r="F216" s="117">
        <f t="shared" si="13"/>
        <v>0</v>
      </c>
      <c r="G216" s="106"/>
      <c r="H216" s="106"/>
      <c r="I216" s="117">
        <f t="shared" si="15"/>
        <v>0</v>
      </c>
    </row>
    <row r="217" spans="1:9">
      <c r="A217" s="119">
        <v>124</v>
      </c>
      <c r="B217" s="119">
        <v>19</v>
      </c>
      <c r="C217" s="130" t="s">
        <v>196</v>
      </c>
      <c r="D217" s="106"/>
      <c r="E217" s="106">
        <v>187000</v>
      </c>
      <c r="F217" s="117">
        <f t="shared" si="13"/>
        <v>187000</v>
      </c>
      <c r="G217" s="106"/>
      <c r="H217" s="106">
        <v>187000</v>
      </c>
      <c r="I217" s="117">
        <f t="shared" si="15"/>
        <v>187000</v>
      </c>
    </row>
    <row r="218" spans="1:9">
      <c r="A218" s="119">
        <v>125</v>
      </c>
      <c r="B218" s="119">
        <v>20</v>
      </c>
      <c r="C218" s="130" t="s">
        <v>197</v>
      </c>
      <c r="D218" s="106"/>
      <c r="E218" s="106">
        <f>116000+116000</f>
        <v>232000</v>
      </c>
      <c r="F218" s="117">
        <f t="shared" si="13"/>
        <v>232000</v>
      </c>
      <c r="G218" s="106"/>
      <c r="H218" s="106">
        <v>116000</v>
      </c>
      <c r="I218" s="117">
        <f t="shared" si="15"/>
        <v>116000</v>
      </c>
    </row>
    <row r="219" spans="1:9">
      <c r="A219" s="119">
        <v>126</v>
      </c>
      <c r="B219" s="119">
        <v>21</v>
      </c>
      <c r="C219" s="130" t="s">
        <v>198</v>
      </c>
      <c r="D219" s="106">
        <v>91000</v>
      </c>
      <c r="E219" s="106">
        <v>145000</v>
      </c>
      <c r="F219" s="117">
        <f t="shared" si="13"/>
        <v>236000</v>
      </c>
      <c r="G219" s="106"/>
      <c r="H219" s="106"/>
      <c r="I219" s="117">
        <f t="shared" si="15"/>
        <v>0</v>
      </c>
    </row>
    <row r="220" spans="1:9">
      <c r="A220" s="119">
        <v>127</v>
      </c>
      <c r="B220" s="119">
        <v>22</v>
      </c>
      <c r="C220" s="130" t="s">
        <v>199</v>
      </c>
      <c r="D220" s="106"/>
      <c r="E220" s="106">
        <v>180000</v>
      </c>
      <c r="F220" s="117">
        <f t="shared" si="13"/>
        <v>180000</v>
      </c>
      <c r="G220" s="106"/>
      <c r="H220" s="106">
        <v>180000</v>
      </c>
      <c r="I220" s="117">
        <f t="shared" si="15"/>
        <v>180000</v>
      </c>
    </row>
    <row r="221" spans="1:9">
      <c r="A221" s="119">
        <v>128</v>
      </c>
      <c r="B221" s="119">
        <v>23</v>
      </c>
      <c r="C221" s="130" t="s">
        <v>200</v>
      </c>
      <c r="D221" s="106"/>
      <c r="E221" s="106"/>
      <c r="F221" s="117">
        <f t="shared" si="13"/>
        <v>0</v>
      </c>
      <c r="G221" s="106"/>
      <c r="H221" s="106"/>
      <c r="I221" s="117">
        <f t="shared" si="15"/>
        <v>0</v>
      </c>
    </row>
    <row r="222" spans="1:9">
      <c r="A222" s="119">
        <v>129</v>
      </c>
      <c r="B222" s="119">
        <v>24</v>
      </c>
      <c r="C222" s="130" t="s">
        <v>201</v>
      </c>
      <c r="D222" s="106">
        <v>79000</v>
      </c>
      <c r="E222" s="106">
        <v>690000</v>
      </c>
      <c r="F222" s="117">
        <f t="shared" si="13"/>
        <v>769000</v>
      </c>
      <c r="G222" s="106">
        <v>79000</v>
      </c>
      <c r="H222" s="106">
        <v>690000</v>
      </c>
      <c r="I222" s="117">
        <f t="shared" si="15"/>
        <v>769000</v>
      </c>
    </row>
    <row r="223" spans="1:9">
      <c r="A223" s="119">
        <v>130</v>
      </c>
      <c r="B223" s="119">
        <v>25</v>
      </c>
      <c r="C223" s="130" t="s">
        <v>202</v>
      </c>
      <c r="D223" s="106">
        <v>354000</v>
      </c>
      <c r="E223" s="106"/>
      <c r="F223" s="117">
        <f t="shared" si="13"/>
        <v>354000</v>
      </c>
      <c r="G223" s="106">
        <v>354000</v>
      </c>
      <c r="H223" s="106"/>
      <c r="I223" s="117">
        <f t="shared" si="15"/>
        <v>354000</v>
      </c>
    </row>
    <row r="224" spans="1:9">
      <c r="A224" s="119">
        <v>131</v>
      </c>
      <c r="B224" s="119">
        <v>26</v>
      </c>
      <c r="C224" s="130" t="s">
        <v>203</v>
      </c>
      <c r="D224" s="106"/>
      <c r="E224" s="106"/>
      <c r="F224" s="117">
        <f t="shared" si="13"/>
        <v>0</v>
      </c>
      <c r="G224" s="106"/>
      <c r="H224" s="106"/>
      <c r="I224" s="117">
        <f t="shared" si="15"/>
        <v>0</v>
      </c>
    </row>
    <row r="225" spans="1:9">
      <c r="A225" s="119">
        <v>132</v>
      </c>
      <c r="B225" s="119">
        <v>27</v>
      </c>
      <c r="C225" s="130" t="s">
        <v>204</v>
      </c>
      <c r="D225" s="106">
        <v>1000000</v>
      </c>
      <c r="E225" s="106"/>
      <c r="F225" s="117">
        <f t="shared" si="13"/>
        <v>1000000</v>
      </c>
      <c r="G225" s="106">
        <v>890000</v>
      </c>
      <c r="H225" s="106"/>
      <c r="I225" s="117">
        <f t="shared" si="15"/>
        <v>890000</v>
      </c>
    </row>
    <row r="226" spans="1:9">
      <c r="A226" s="119">
        <v>133</v>
      </c>
      <c r="B226" s="119">
        <v>28</v>
      </c>
      <c r="C226" s="130" t="s">
        <v>205</v>
      </c>
      <c r="D226" s="106"/>
      <c r="E226" s="106"/>
      <c r="F226" s="117">
        <f t="shared" si="13"/>
        <v>0</v>
      </c>
      <c r="G226" s="106"/>
      <c r="H226" s="106"/>
      <c r="I226" s="117">
        <f t="shared" si="15"/>
        <v>0</v>
      </c>
    </row>
    <row r="227" spans="1:9">
      <c r="A227" s="119">
        <v>134</v>
      </c>
      <c r="B227" s="119">
        <v>29</v>
      </c>
      <c r="C227" s="130" t="s">
        <v>206</v>
      </c>
      <c r="D227" s="106"/>
      <c r="E227" s="106"/>
      <c r="F227" s="117">
        <f t="shared" si="13"/>
        <v>0</v>
      </c>
      <c r="G227" s="106"/>
      <c r="H227" s="106"/>
      <c r="I227" s="117">
        <f t="shared" si="15"/>
        <v>0</v>
      </c>
    </row>
    <row r="228" spans="1:9">
      <c r="A228" s="119">
        <v>135</v>
      </c>
      <c r="B228" s="119">
        <v>30</v>
      </c>
      <c r="C228" s="130" t="s">
        <v>207</v>
      </c>
      <c r="D228" s="106"/>
      <c r="E228" s="106"/>
      <c r="F228" s="117">
        <f t="shared" si="13"/>
        <v>0</v>
      </c>
      <c r="G228" s="106"/>
      <c r="H228" s="106"/>
      <c r="I228" s="117">
        <f t="shared" si="15"/>
        <v>0</v>
      </c>
    </row>
    <row r="229" spans="1:9">
      <c r="A229" s="119">
        <v>136</v>
      </c>
      <c r="B229" s="119">
        <v>31</v>
      </c>
      <c r="C229" s="130" t="s">
        <v>208</v>
      </c>
      <c r="D229" s="106"/>
      <c r="E229" s="106"/>
      <c r="F229" s="117">
        <f t="shared" si="13"/>
        <v>0</v>
      </c>
      <c r="G229" s="106"/>
      <c r="H229" s="106"/>
      <c r="I229" s="117">
        <f t="shared" si="15"/>
        <v>0</v>
      </c>
    </row>
    <row r="230" spans="1:9">
      <c r="A230" s="119">
        <v>137</v>
      </c>
      <c r="B230" s="119">
        <v>32</v>
      </c>
      <c r="C230" s="130" t="s">
        <v>209</v>
      </c>
      <c r="D230" s="106"/>
      <c r="E230" s="106">
        <v>114000</v>
      </c>
      <c r="F230" s="117">
        <f t="shared" si="13"/>
        <v>114000</v>
      </c>
      <c r="G230" s="106"/>
      <c r="H230" s="106">
        <v>114000</v>
      </c>
      <c r="I230" s="117">
        <f t="shared" si="15"/>
        <v>114000</v>
      </c>
    </row>
    <row r="231" spans="1:9">
      <c r="A231" s="119">
        <v>138</v>
      </c>
      <c r="B231" s="119">
        <v>33</v>
      </c>
      <c r="C231" s="130" t="s">
        <v>210</v>
      </c>
      <c r="D231" s="106">
        <v>86000</v>
      </c>
      <c r="E231" s="106"/>
      <c r="F231" s="117">
        <f t="shared" si="13"/>
        <v>86000</v>
      </c>
      <c r="G231" s="106">
        <v>86000</v>
      </c>
      <c r="H231" s="106"/>
      <c r="I231" s="117">
        <f t="shared" si="15"/>
        <v>86000</v>
      </c>
    </row>
    <row r="232" spans="1:9">
      <c r="A232" s="119">
        <v>139</v>
      </c>
      <c r="B232" s="119">
        <v>34</v>
      </c>
      <c r="C232" s="130" t="s">
        <v>211</v>
      </c>
      <c r="D232" s="106"/>
      <c r="E232" s="106"/>
      <c r="F232" s="117">
        <f t="shared" si="13"/>
        <v>0</v>
      </c>
      <c r="G232" s="106"/>
      <c r="H232" s="106"/>
      <c r="I232" s="117">
        <f t="shared" si="15"/>
        <v>0</v>
      </c>
    </row>
    <row r="233" spans="1:9">
      <c r="A233" s="119">
        <v>140</v>
      </c>
      <c r="B233" s="119">
        <v>35</v>
      </c>
      <c r="C233" s="130" t="s">
        <v>212</v>
      </c>
      <c r="D233" s="106"/>
      <c r="E233" s="106"/>
      <c r="F233" s="117">
        <f t="shared" si="13"/>
        <v>0</v>
      </c>
      <c r="G233" s="106"/>
      <c r="H233" s="106"/>
      <c r="I233" s="117">
        <f t="shared" si="15"/>
        <v>0</v>
      </c>
    </row>
    <row r="234" spans="1:9">
      <c r="A234" s="119">
        <v>141</v>
      </c>
      <c r="B234" s="119">
        <v>36</v>
      </c>
      <c r="C234" s="130" t="s">
        <v>213</v>
      </c>
      <c r="D234" s="106"/>
      <c r="E234" s="106"/>
      <c r="F234" s="117">
        <f t="shared" si="13"/>
        <v>0</v>
      </c>
      <c r="G234" s="106"/>
      <c r="H234" s="106"/>
      <c r="I234" s="117">
        <f t="shared" si="15"/>
        <v>0</v>
      </c>
    </row>
    <row r="235" spans="1:9">
      <c r="A235" s="119">
        <v>142</v>
      </c>
      <c r="B235" s="119">
        <v>37</v>
      </c>
      <c r="C235" s="130" t="s">
        <v>214</v>
      </c>
      <c r="D235" s="106"/>
      <c r="E235" s="106"/>
      <c r="F235" s="117">
        <f t="shared" si="13"/>
        <v>0</v>
      </c>
      <c r="G235" s="106">
        <v>91000</v>
      </c>
      <c r="H235" s="106">
        <v>145000</v>
      </c>
      <c r="I235" s="117">
        <f t="shared" si="15"/>
        <v>236000</v>
      </c>
    </row>
    <row r="236" spans="1:9">
      <c r="A236" s="119">
        <v>143</v>
      </c>
      <c r="B236" s="119">
        <v>38</v>
      </c>
      <c r="C236" s="130" t="s">
        <v>215</v>
      </c>
      <c r="D236" s="106"/>
      <c r="E236" s="106"/>
      <c r="F236" s="117">
        <f t="shared" si="13"/>
        <v>0</v>
      </c>
      <c r="G236" s="106"/>
      <c r="H236" s="106"/>
      <c r="I236" s="117">
        <f t="shared" si="15"/>
        <v>0</v>
      </c>
    </row>
    <row r="237" spans="1:9">
      <c r="A237" s="119">
        <v>144</v>
      </c>
      <c r="B237" s="119">
        <v>39</v>
      </c>
      <c r="C237" s="130" t="s">
        <v>216</v>
      </c>
      <c r="D237" s="106"/>
      <c r="E237" s="106">
        <v>330000</v>
      </c>
      <c r="F237" s="117">
        <f t="shared" si="13"/>
        <v>330000</v>
      </c>
      <c r="G237" s="106"/>
      <c r="H237" s="106">
        <v>330000</v>
      </c>
      <c r="I237" s="117">
        <f t="shared" si="15"/>
        <v>330000</v>
      </c>
    </row>
    <row r="238" spans="1:9">
      <c r="A238" s="119">
        <v>145</v>
      </c>
      <c r="B238" s="119">
        <v>40</v>
      </c>
      <c r="C238" s="130" t="s">
        <v>217</v>
      </c>
      <c r="D238" s="106"/>
      <c r="E238" s="106"/>
      <c r="F238" s="117">
        <f t="shared" si="13"/>
        <v>0</v>
      </c>
      <c r="G238" s="106"/>
      <c r="H238" s="106"/>
      <c r="I238" s="117">
        <f t="shared" si="15"/>
        <v>0</v>
      </c>
    </row>
    <row r="239" spans="1:9">
      <c r="A239" s="119">
        <v>146</v>
      </c>
      <c r="B239" s="119">
        <v>41</v>
      </c>
      <c r="C239" s="130" t="s">
        <v>218</v>
      </c>
      <c r="D239" s="106"/>
      <c r="E239" s="106">
        <v>750000</v>
      </c>
      <c r="F239" s="117">
        <f t="shared" si="13"/>
        <v>750000</v>
      </c>
      <c r="G239" s="106"/>
      <c r="H239" s="106"/>
      <c r="I239" s="117">
        <f t="shared" si="15"/>
        <v>0</v>
      </c>
    </row>
    <row r="240" spans="1:9">
      <c r="A240" s="119">
        <v>147</v>
      </c>
      <c r="B240" s="119">
        <v>42</v>
      </c>
      <c r="C240" s="130" t="s">
        <v>219</v>
      </c>
      <c r="D240" s="106"/>
      <c r="E240" s="106"/>
      <c r="F240" s="117">
        <f t="shared" si="13"/>
        <v>0</v>
      </c>
      <c r="G240" s="106"/>
      <c r="H240" s="106"/>
      <c r="I240" s="117">
        <f t="shared" si="15"/>
        <v>0</v>
      </c>
    </row>
    <row r="241" spans="1:9">
      <c r="A241" s="119">
        <v>148</v>
      </c>
      <c r="B241" s="119">
        <v>43</v>
      </c>
      <c r="C241" s="130" t="s">
        <v>220</v>
      </c>
      <c r="D241" s="106"/>
      <c r="E241" s="106"/>
      <c r="F241" s="117">
        <f t="shared" si="13"/>
        <v>0</v>
      </c>
      <c r="G241" s="106"/>
      <c r="H241" s="106"/>
      <c r="I241" s="117">
        <f t="shared" si="15"/>
        <v>0</v>
      </c>
    </row>
    <row r="242" spans="1:9">
      <c r="A242" s="119">
        <v>149</v>
      </c>
      <c r="B242" s="119">
        <v>44</v>
      </c>
      <c r="C242" s="130" t="s">
        <v>221</v>
      </c>
      <c r="D242" s="106"/>
      <c r="E242" s="106"/>
      <c r="F242" s="117">
        <f t="shared" si="13"/>
        <v>0</v>
      </c>
      <c r="G242" s="106"/>
      <c r="H242" s="106"/>
      <c r="I242" s="117">
        <f t="shared" si="15"/>
        <v>0</v>
      </c>
    </row>
    <row r="243" spans="1:9">
      <c r="A243" s="119">
        <v>150</v>
      </c>
      <c r="B243" s="119">
        <v>45</v>
      </c>
      <c r="C243" s="130" t="s">
        <v>222</v>
      </c>
      <c r="D243" s="106"/>
      <c r="E243" s="106"/>
      <c r="F243" s="117">
        <f t="shared" si="13"/>
        <v>0</v>
      </c>
      <c r="G243" s="106"/>
      <c r="H243" s="106"/>
      <c r="I243" s="117">
        <f t="shared" si="15"/>
        <v>0</v>
      </c>
    </row>
    <row r="244" spans="1:9">
      <c r="A244" s="119">
        <v>151</v>
      </c>
      <c r="B244" s="119">
        <v>46</v>
      </c>
      <c r="C244" s="130" t="s">
        <v>306</v>
      </c>
      <c r="D244" s="106">
        <v>750000</v>
      </c>
      <c r="E244" s="106"/>
      <c r="F244" s="117">
        <f t="shared" si="13"/>
        <v>750000</v>
      </c>
      <c r="G244" s="106">
        <v>750000</v>
      </c>
      <c r="H244" s="106"/>
      <c r="I244" s="117">
        <f t="shared" si="15"/>
        <v>750000</v>
      </c>
    </row>
    <row r="245" spans="1:9">
      <c r="A245" s="119">
        <v>152</v>
      </c>
      <c r="B245" s="119">
        <v>47</v>
      </c>
      <c r="C245" s="130" t="s">
        <v>281</v>
      </c>
      <c r="D245" s="106">
        <v>350000</v>
      </c>
      <c r="E245" s="106"/>
      <c r="F245" s="117">
        <f t="shared" si="13"/>
        <v>350000</v>
      </c>
      <c r="G245" s="106">
        <v>350000</v>
      </c>
      <c r="H245" s="106"/>
      <c r="I245" s="117">
        <f t="shared" si="15"/>
        <v>350000</v>
      </c>
    </row>
    <row r="246" spans="1:9">
      <c r="A246" s="119">
        <v>153</v>
      </c>
      <c r="B246" s="119">
        <v>48</v>
      </c>
      <c r="C246" s="130" t="s">
        <v>347</v>
      </c>
      <c r="D246" s="106">
        <v>1000000</v>
      </c>
      <c r="E246" s="106"/>
      <c r="F246" s="117">
        <f t="shared" si="13"/>
        <v>1000000</v>
      </c>
      <c r="G246" s="106">
        <v>1000000</v>
      </c>
      <c r="H246" s="106"/>
      <c r="I246" s="117">
        <f t="shared" si="15"/>
        <v>1000000</v>
      </c>
    </row>
    <row r="247" spans="1:9">
      <c r="A247" s="119">
        <v>154</v>
      </c>
      <c r="B247" s="119">
        <v>49</v>
      </c>
      <c r="C247" s="130" t="s">
        <v>348</v>
      </c>
      <c r="D247" s="106">
        <v>1500000</v>
      </c>
      <c r="E247" s="106"/>
      <c r="F247" s="117">
        <f t="shared" si="13"/>
        <v>1500000</v>
      </c>
      <c r="G247" s="106"/>
      <c r="H247" s="106"/>
      <c r="I247" s="117">
        <f t="shared" si="15"/>
        <v>0</v>
      </c>
    </row>
    <row r="248" spans="1:9">
      <c r="A248" s="119">
        <v>155</v>
      </c>
      <c r="B248" s="119">
        <v>50</v>
      </c>
      <c r="C248" s="130" t="s">
        <v>374</v>
      </c>
      <c r="D248" s="106">
        <v>1700000</v>
      </c>
      <c r="E248" s="106"/>
      <c r="F248" s="117">
        <f t="shared" si="13"/>
        <v>1700000</v>
      </c>
      <c r="G248" s="106">
        <v>1700000</v>
      </c>
      <c r="H248" s="106"/>
      <c r="I248" s="117">
        <f t="shared" si="15"/>
        <v>1700000</v>
      </c>
    </row>
    <row r="249" spans="1:9">
      <c r="A249" s="119">
        <v>156</v>
      </c>
      <c r="B249" s="119">
        <v>51</v>
      </c>
      <c r="C249" s="130" t="s">
        <v>648</v>
      </c>
      <c r="D249" s="106"/>
      <c r="E249" s="106"/>
      <c r="F249" s="117"/>
      <c r="G249" s="106">
        <v>1000000</v>
      </c>
      <c r="H249" s="106"/>
      <c r="I249" s="117">
        <f t="shared" si="15"/>
        <v>1000000</v>
      </c>
    </row>
    <row r="250" spans="1:9">
      <c r="A250" s="119">
        <v>157</v>
      </c>
      <c r="B250" s="119">
        <v>52</v>
      </c>
      <c r="C250" s="130" t="s">
        <v>375</v>
      </c>
      <c r="D250" s="106"/>
      <c r="E250" s="106"/>
      <c r="F250" s="117">
        <f t="shared" si="13"/>
        <v>0</v>
      </c>
      <c r="G250" s="106"/>
      <c r="H250" s="106"/>
      <c r="I250" s="117">
        <f t="shared" si="15"/>
        <v>0</v>
      </c>
    </row>
    <row r="251" spans="1:9">
      <c r="A251" s="119">
        <v>158</v>
      </c>
      <c r="B251" s="119">
        <v>53</v>
      </c>
      <c r="C251" s="130" t="s">
        <v>224</v>
      </c>
      <c r="D251" s="106"/>
      <c r="E251" s="106"/>
      <c r="F251" s="117">
        <f t="shared" si="13"/>
        <v>0</v>
      </c>
      <c r="G251" s="106"/>
      <c r="H251" s="106"/>
      <c r="I251" s="117">
        <f t="shared" si="15"/>
        <v>0</v>
      </c>
    </row>
    <row r="252" spans="1:9">
      <c r="A252" s="119">
        <v>159</v>
      </c>
      <c r="B252" s="119">
        <v>54</v>
      </c>
      <c r="C252" s="131" t="s">
        <v>225</v>
      </c>
      <c r="D252" s="106">
        <v>860000</v>
      </c>
      <c r="E252" s="106"/>
      <c r="F252" s="117">
        <f t="shared" si="13"/>
        <v>860000</v>
      </c>
      <c r="G252" s="106">
        <v>950000</v>
      </c>
      <c r="H252" s="106"/>
      <c r="I252" s="117">
        <f t="shared" si="15"/>
        <v>950000</v>
      </c>
    </row>
    <row r="253" spans="1:9">
      <c r="A253" s="132" t="s">
        <v>58</v>
      </c>
      <c r="B253" s="132"/>
      <c r="C253" s="132"/>
      <c r="D253" s="110">
        <f>SUM(D199:D252)</f>
        <v>9206265</v>
      </c>
      <c r="E253" s="110">
        <f>SUM(E199:E252)</f>
        <v>5909200</v>
      </c>
      <c r="F253" s="110">
        <f>SUM(D253:E253)</f>
        <v>15115465</v>
      </c>
      <c r="G253" s="110">
        <f>SUM(G199:G252)</f>
        <v>9402190</v>
      </c>
      <c r="H253" s="110">
        <f>SUM(H199:H252)</f>
        <v>3822200</v>
      </c>
      <c r="I253" s="110">
        <f>SUM(G253:H253)</f>
        <v>13224390</v>
      </c>
    </row>
    <row r="254" spans="1:9">
      <c r="A254" s="108" t="s">
        <v>226</v>
      </c>
      <c r="B254" s="109"/>
      <c r="C254" s="109"/>
      <c r="D254" s="109"/>
      <c r="E254" s="109"/>
      <c r="F254" s="109"/>
      <c r="G254" s="109"/>
      <c r="H254" s="109"/>
      <c r="I254" s="113"/>
    </row>
    <row r="255" spans="1:9">
      <c r="A255" s="119">
        <v>160</v>
      </c>
      <c r="B255" s="119">
        <v>1</v>
      </c>
      <c r="C255" s="125" t="s">
        <v>227</v>
      </c>
      <c r="D255" s="106">
        <v>961778</v>
      </c>
      <c r="E255" s="106">
        <v>30000</v>
      </c>
      <c r="F255" s="117">
        <f>SUM(D255:E255)</f>
        <v>991778</v>
      </c>
      <c r="G255" s="106">
        <f>148000+961778</f>
        <v>1109778</v>
      </c>
      <c r="H255" s="106">
        <v>30000</v>
      </c>
      <c r="I255" s="117">
        <f>SUM(G255:H255)</f>
        <v>1139778</v>
      </c>
    </row>
    <row r="256" spans="1:9">
      <c r="A256" s="108" t="s">
        <v>101</v>
      </c>
      <c r="B256" s="109"/>
      <c r="C256" s="109"/>
      <c r="D256" s="110">
        <f>D255</f>
        <v>961778</v>
      </c>
      <c r="E256" s="110">
        <f>E255</f>
        <v>30000</v>
      </c>
      <c r="F256" s="110">
        <f>SUM(D256:E256)</f>
        <v>991778</v>
      </c>
      <c r="G256" s="110">
        <f>G255</f>
        <v>1109778</v>
      </c>
      <c r="H256" s="110">
        <f>H255</f>
        <v>30000</v>
      </c>
      <c r="I256" s="110">
        <f>SUM(G256:H256)</f>
        <v>1139778</v>
      </c>
    </row>
    <row r="257" spans="1:9">
      <c r="A257" s="108" t="s">
        <v>228</v>
      </c>
      <c r="B257" s="109"/>
      <c r="C257" s="109"/>
      <c r="D257" s="109"/>
      <c r="E257" s="109"/>
      <c r="F257" s="109"/>
      <c r="G257" s="109"/>
      <c r="H257" s="109"/>
      <c r="I257" s="113"/>
    </row>
    <row r="258" spans="1:9">
      <c r="A258" s="119">
        <v>161</v>
      </c>
      <c r="B258" s="119">
        <v>1</v>
      </c>
      <c r="C258" s="133" t="s">
        <v>229</v>
      </c>
      <c r="D258" s="106">
        <v>3850000</v>
      </c>
      <c r="E258" s="134"/>
      <c r="F258" s="117">
        <f>SUM(D258:E258)</f>
        <v>3850000</v>
      </c>
      <c r="G258" s="106"/>
      <c r="H258" s="134"/>
      <c r="I258" s="117">
        <f>SUM(G258:H258)</f>
        <v>0</v>
      </c>
    </row>
    <row r="259" spans="1:9">
      <c r="A259" s="119">
        <v>162</v>
      </c>
      <c r="B259" s="119">
        <v>2</v>
      </c>
      <c r="C259" s="220" t="s">
        <v>429</v>
      </c>
      <c r="D259" s="106"/>
      <c r="E259" s="134"/>
      <c r="F259" s="117">
        <f>D259+E259</f>
        <v>0</v>
      </c>
      <c r="G259" s="106"/>
      <c r="H259" s="134">
        <v>3000000</v>
      </c>
      <c r="I259" s="117">
        <f>G259+H259</f>
        <v>3000000</v>
      </c>
    </row>
    <row r="260" spans="1:9">
      <c r="A260" s="108" t="s">
        <v>101</v>
      </c>
      <c r="B260" s="109"/>
      <c r="C260" s="109"/>
      <c r="D260" s="110">
        <f>SUM(D258:D259)</f>
        <v>3850000</v>
      </c>
      <c r="E260" s="110">
        <f>SUM(E258:E259)</f>
        <v>0</v>
      </c>
      <c r="F260" s="110">
        <f>SUM(D260:E260)</f>
        <v>3850000</v>
      </c>
      <c r="G260" s="110">
        <f>SUM(G258:G259)</f>
        <v>0</v>
      </c>
      <c r="H260" s="110">
        <f>SUM(H258:H259)</f>
        <v>3000000</v>
      </c>
      <c r="I260" s="110">
        <f>SUM(G260:H260)</f>
        <v>3000000</v>
      </c>
    </row>
    <row r="261" spans="1:9">
      <c r="A261" s="108" t="s">
        <v>230</v>
      </c>
      <c r="B261" s="109"/>
      <c r="C261" s="109"/>
      <c r="D261" s="109"/>
      <c r="E261" s="109"/>
      <c r="F261" s="109"/>
      <c r="G261" s="109"/>
      <c r="H261" s="109"/>
      <c r="I261" s="113"/>
    </row>
    <row r="262" spans="1:9" s="189" customFormat="1">
      <c r="A262" s="186">
        <v>163</v>
      </c>
      <c r="B262" s="186">
        <v>1</v>
      </c>
      <c r="C262" s="228" t="s">
        <v>231</v>
      </c>
      <c r="D262" s="187"/>
      <c r="E262" s="187"/>
      <c r="F262" s="188">
        <f>SUM(D262:E262)</f>
        <v>0</v>
      </c>
      <c r="G262" s="187"/>
      <c r="H262" s="187"/>
      <c r="I262" s="188">
        <f>SUM(G262:H262)</f>
        <v>0</v>
      </c>
    </row>
    <row r="263" spans="1:9" s="189" customFormat="1">
      <c r="A263" s="186">
        <v>164</v>
      </c>
      <c r="B263" s="186">
        <v>2</v>
      </c>
      <c r="C263" s="228" t="s">
        <v>232</v>
      </c>
      <c r="D263" s="187"/>
      <c r="E263" s="187"/>
      <c r="F263" s="188">
        <f t="shared" ref="F263:F276" si="16">SUM(D263:E263)</f>
        <v>0</v>
      </c>
      <c r="G263" s="187">
        <v>5000000</v>
      </c>
      <c r="H263" s="187">
        <f>1617500+491000</f>
        <v>2108500</v>
      </c>
      <c r="I263" s="188">
        <f t="shared" ref="I263:I268" si="17">SUM(G263:H263)</f>
        <v>7108500</v>
      </c>
    </row>
    <row r="264" spans="1:9" s="189" customFormat="1">
      <c r="A264" s="186">
        <v>165</v>
      </c>
      <c r="B264" s="186">
        <v>3</v>
      </c>
      <c r="C264" s="229" t="s">
        <v>307</v>
      </c>
      <c r="D264" s="187"/>
      <c r="E264" s="187"/>
      <c r="F264" s="188">
        <f t="shared" si="16"/>
        <v>0</v>
      </c>
      <c r="G264" s="187"/>
      <c r="H264" s="187"/>
      <c r="I264" s="188">
        <f t="shared" si="17"/>
        <v>0</v>
      </c>
    </row>
    <row r="265" spans="1:9" s="189" customFormat="1">
      <c r="A265" s="186">
        <v>166</v>
      </c>
      <c r="B265" s="186">
        <v>4</v>
      </c>
      <c r="C265" s="135" t="s">
        <v>566</v>
      </c>
      <c r="D265" s="187">
        <f>200000+110000+100000</f>
        <v>410000</v>
      </c>
      <c r="E265" s="187">
        <f>70000+200000</f>
        <v>270000</v>
      </c>
      <c r="F265" s="188">
        <f t="shared" si="16"/>
        <v>680000</v>
      </c>
      <c r="G265" s="187">
        <f>100000+200000+200000</f>
        <v>500000</v>
      </c>
      <c r="H265" s="187">
        <f>200000+100000</f>
        <v>300000</v>
      </c>
      <c r="I265" s="188">
        <f t="shared" si="17"/>
        <v>800000</v>
      </c>
    </row>
    <row r="266" spans="1:9" s="189" customFormat="1">
      <c r="A266" s="186">
        <v>167</v>
      </c>
      <c r="B266" s="186">
        <v>5</v>
      </c>
      <c r="C266" s="135" t="s">
        <v>567</v>
      </c>
      <c r="D266" s="187">
        <v>210000</v>
      </c>
      <c r="E266" s="187">
        <f>100000+100000</f>
        <v>200000</v>
      </c>
      <c r="F266" s="188">
        <f t="shared" si="16"/>
        <v>410000</v>
      </c>
      <c r="G266" s="187">
        <f>615000+400000</f>
        <v>1015000</v>
      </c>
      <c r="H266" s="187">
        <f>100000+100000</f>
        <v>200000</v>
      </c>
      <c r="I266" s="188">
        <f t="shared" si="17"/>
        <v>1215000</v>
      </c>
    </row>
    <row r="267" spans="1:9" s="189" customFormat="1">
      <c r="A267" s="186">
        <v>168</v>
      </c>
      <c r="B267" s="186">
        <v>6</v>
      </c>
      <c r="C267" s="135" t="s">
        <v>234</v>
      </c>
      <c r="D267" s="187">
        <v>120000</v>
      </c>
      <c r="E267" s="187"/>
      <c r="F267" s="188">
        <f t="shared" si="16"/>
        <v>120000</v>
      </c>
      <c r="G267" s="187">
        <v>120000</v>
      </c>
      <c r="H267" s="187"/>
      <c r="I267" s="188">
        <f t="shared" si="17"/>
        <v>120000</v>
      </c>
    </row>
    <row r="268" spans="1:9" s="189" customFormat="1">
      <c r="A268" s="186">
        <v>169</v>
      </c>
      <c r="B268" s="186">
        <v>7</v>
      </c>
      <c r="C268" s="135" t="s">
        <v>430</v>
      </c>
      <c r="D268" s="187"/>
      <c r="E268" s="187"/>
      <c r="F268" s="188">
        <f t="shared" si="16"/>
        <v>0</v>
      </c>
      <c r="G268" s="187"/>
      <c r="H268" s="187"/>
      <c r="I268" s="188">
        <f t="shared" si="17"/>
        <v>0</v>
      </c>
    </row>
    <row r="269" spans="1:9" s="189" customFormat="1">
      <c r="A269" s="186">
        <v>170</v>
      </c>
      <c r="B269" s="186">
        <v>8</v>
      </c>
      <c r="C269" s="135" t="s">
        <v>432</v>
      </c>
      <c r="D269" s="187"/>
      <c r="E269" s="187"/>
      <c r="F269" s="188">
        <f>SUM(D269:E269)</f>
        <v>0</v>
      </c>
      <c r="G269" s="187"/>
      <c r="H269" s="187"/>
      <c r="I269" s="188">
        <f t="shared" ref="I269:I289" si="18">SUM(G269:H269)</f>
        <v>0</v>
      </c>
    </row>
    <row r="270" spans="1:9" s="189" customFormat="1">
      <c r="A270" s="186">
        <v>171</v>
      </c>
      <c r="B270" s="186">
        <v>9</v>
      </c>
      <c r="C270" s="135" t="s">
        <v>238</v>
      </c>
      <c r="D270" s="187"/>
      <c r="E270" s="187"/>
      <c r="F270" s="188">
        <f t="shared" si="16"/>
        <v>0</v>
      </c>
      <c r="G270" s="187"/>
      <c r="H270" s="187"/>
      <c r="I270" s="188">
        <f t="shared" si="18"/>
        <v>0</v>
      </c>
    </row>
    <row r="271" spans="1:9" s="189" customFormat="1">
      <c r="A271" s="186">
        <v>172</v>
      </c>
      <c r="B271" s="186">
        <v>10</v>
      </c>
      <c r="C271" s="135" t="s">
        <v>442</v>
      </c>
      <c r="D271" s="187"/>
      <c r="E271" s="187"/>
      <c r="F271" s="188">
        <f t="shared" si="16"/>
        <v>0</v>
      </c>
      <c r="G271" s="187"/>
      <c r="H271" s="187"/>
      <c r="I271" s="188">
        <f t="shared" si="18"/>
        <v>0</v>
      </c>
    </row>
    <row r="272" spans="1:9" s="189" customFormat="1">
      <c r="A272" s="186">
        <v>173</v>
      </c>
      <c r="B272" s="186">
        <v>11</v>
      </c>
      <c r="C272" s="135" t="s">
        <v>236</v>
      </c>
      <c r="D272" s="187"/>
      <c r="E272" s="187"/>
      <c r="F272" s="188">
        <f>SUM(D272:E272)</f>
        <v>0</v>
      </c>
      <c r="G272" s="187"/>
      <c r="H272" s="187"/>
      <c r="I272" s="188">
        <f t="shared" si="18"/>
        <v>0</v>
      </c>
    </row>
    <row r="273" spans="1:9" s="189" customFormat="1">
      <c r="A273" s="186">
        <v>174</v>
      </c>
      <c r="B273" s="186">
        <v>12</v>
      </c>
      <c r="C273" s="135" t="s">
        <v>523</v>
      </c>
      <c r="D273" s="187"/>
      <c r="E273" s="187"/>
      <c r="F273" s="188">
        <f>SUM(D273:E273)</f>
        <v>0</v>
      </c>
      <c r="G273" s="187"/>
      <c r="H273" s="187"/>
      <c r="I273" s="188">
        <f t="shared" si="18"/>
        <v>0</v>
      </c>
    </row>
    <row r="274" spans="1:9" s="189" customFormat="1">
      <c r="A274" s="186">
        <v>175</v>
      </c>
      <c r="B274" s="186">
        <v>13</v>
      </c>
      <c r="C274" s="135" t="s">
        <v>524</v>
      </c>
      <c r="D274" s="187"/>
      <c r="E274" s="187"/>
      <c r="F274" s="188">
        <f>SUM(D274:E274)</f>
        <v>0</v>
      </c>
      <c r="G274" s="187"/>
      <c r="H274" s="187"/>
      <c r="I274" s="188">
        <f t="shared" si="18"/>
        <v>0</v>
      </c>
    </row>
    <row r="275" spans="1:9" s="189" customFormat="1">
      <c r="A275" s="186">
        <v>176</v>
      </c>
      <c r="B275" s="186">
        <v>14</v>
      </c>
      <c r="C275" s="135" t="s">
        <v>525</v>
      </c>
      <c r="D275" s="187"/>
      <c r="E275" s="187"/>
      <c r="F275" s="188">
        <f>SUM(D275:E275)</f>
        <v>0</v>
      </c>
      <c r="G275" s="187"/>
      <c r="H275" s="187"/>
      <c r="I275" s="188">
        <f t="shared" si="18"/>
        <v>0</v>
      </c>
    </row>
    <row r="276" spans="1:9" s="189" customFormat="1">
      <c r="A276" s="186">
        <v>177</v>
      </c>
      <c r="B276" s="186">
        <v>15</v>
      </c>
      <c r="C276" s="135" t="s">
        <v>282</v>
      </c>
      <c r="D276" s="187"/>
      <c r="E276" s="187"/>
      <c r="F276" s="188">
        <f t="shared" si="16"/>
        <v>0</v>
      </c>
      <c r="G276" s="187"/>
      <c r="H276" s="187"/>
      <c r="I276" s="188">
        <f t="shared" si="18"/>
        <v>0</v>
      </c>
    </row>
    <row r="277" spans="1:9" s="189" customFormat="1">
      <c r="A277" s="186">
        <v>178</v>
      </c>
      <c r="B277" s="186">
        <v>16</v>
      </c>
      <c r="C277" s="135" t="s">
        <v>283</v>
      </c>
      <c r="D277" s="187">
        <v>350000</v>
      </c>
      <c r="E277" s="187"/>
      <c r="F277" s="188">
        <f>SUM(D277:E277)</f>
        <v>350000</v>
      </c>
      <c r="G277" s="187">
        <v>350000</v>
      </c>
      <c r="H277" s="187"/>
      <c r="I277" s="188">
        <f t="shared" si="18"/>
        <v>350000</v>
      </c>
    </row>
    <row r="278" spans="1:9" s="189" customFormat="1">
      <c r="A278" s="186">
        <v>179</v>
      </c>
      <c r="B278" s="186">
        <v>17</v>
      </c>
      <c r="C278" s="135" t="s">
        <v>235</v>
      </c>
      <c r="D278" s="187"/>
      <c r="E278" s="187"/>
      <c r="F278" s="188">
        <f t="shared" ref="F278:F285" si="19">SUM(D278:E278)</f>
        <v>0</v>
      </c>
      <c r="G278" s="187"/>
      <c r="H278" s="187"/>
      <c r="I278" s="188">
        <f t="shared" si="18"/>
        <v>0</v>
      </c>
    </row>
    <row r="279" spans="1:9" s="189" customFormat="1">
      <c r="A279" s="186">
        <v>180</v>
      </c>
      <c r="B279" s="186">
        <v>18</v>
      </c>
      <c r="C279" s="135" t="s">
        <v>568</v>
      </c>
      <c r="D279" s="187">
        <v>216000</v>
      </c>
      <c r="E279" s="187"/>
      <c r="F279" s="188">
        <f t="shared" si="19"/>
        <v>216000</v>
      </c>
      <c r="G279" s="187">
        <v>216000</v>
      </c>
      <c r="H279" s="187"/>
      <c r="I279" s="188">
        <f t="shared" si="18"/>
        <v>216000</v>
      </c>
    </row>
    <row r="280" spans="1:9" s="189" customFormat="1">
      <c r="A280" s="186">
        <v>181</v>
      </c>
      <c r="B280" s="186">
        <v>19</v>
      </c>
      <c r="C280" s="135" t="s">
        <v>569</v>
      </c>
      <c r="D280" s="187"/>
      <c r="E280" s="187"/>
      <c r="F280" s="188">
        <f t="shared" si="19"/>
        <v>0</v>
      </c>
      <c r="G280" s="187"/>
      <c r="H280" s="187"/>
      <c r="I280" s="188">
        <f t="shared" si="18"/>
        <v>0</v>
      </c>
    </row>
    <row r="281" spans="1:9" s="189" customFormat="1">
      <c r="A281" s="186">
        <v>182</v>
      </c>
      <c r="B281" s="186">
        <v>20</v>
      </c>
      <c r="C281" s="136" t="s">
        <v>252</v>
      </c>
      <c r="D281" s="187"/>
      <c r="E281" s="187"/>
      <c r="F281" s="188">
        <f t="shared" si="19"/>
        <v>0</v>
      </c>
      <c r="G281" s="187"/>
      <c r="H281" s="187"/>
      <c r="I281" s="188">
        <f t="shared" si="18"/>
        <v>0</v>
      </c>
    </row>
    <row r="282" spans="1:9" s="189" customFormat="1">
      <c r="A282" s="186">
        <v>183</v>
      </c>
      <c r="B282" s="186">
        <v>21</v>
      </c>
      <c r="C282" s="136" t="s">
        <v>609</v>
      </c>
      <c r="D282" s="323">
        <v>50000</v>
      </c>
      <c r="E282" s="324"/>
      <c r="F282" s="188">
        <f t="shared" si="19"/>
        <v>50000</v>
      </c>
      <c r="G282" s="323"/>
      <c r="H282" s="324"/>
      <c r="I282" s="188">
        <f t="shared" si="18"/>
        <v>0</v>
      </c>
    </row>
    <row r="283" spans="1:9" s="189" customFormat="1">
      <c r="A283" s="186">
        <v>184</v>
      </c>
      <c r="B283" s="186">
        <v>22</v>
      </c>
      <c r="C283" s="325" t="s">
        <v>649</v>
      </c>
      <c r="D283" s="323"/>
      <c r="E283" s="187">
        <v>500000</v>
      </c>
      <c r="F283" s="188">
        <f t="shared" si="19"/>
        <v>500000</v>
      </c>
      <c r="G283" s="323"/>
      <c r="H283" s="187"/>
      <c r="I283" s="188">
        <f t="shared" si="18"/>
        <v>0</v>
      </c>
    </row>
    <row r="284" spans="1:9" s="189" customFormat="1">
      <c r="A284" s="186">
        <v>185</v>
      </c>
      <c r="B284" s="186">
        <v>23</v>
      </c>
      <c r="C284" s="325" t="s">
        <v>610</v>
      </c>
      <c r="D284" s="324">
        <v>1500000</v>
      </c>
      <c r="F284" s="188">
        <f>SUM(D284:E284)</f>
        <v>1500000</v>
      </c>
      <c r="G284" s="324"/>
      <c r="I284" s="188">
        <f t="shared" si="18"/>
        <v>0</v>
      </c>
    </row>
    <row r="285" spans="1:9" s="189" customFormat="1">
      <c r="A285" s="186">
        <v>186</v>
      </c>
      <c r="B285" s="186">
        <v>24</v>
      </c>
      <c r="C285" s="325" t="s">
        <v>611</v>
      </c>
      <c r="D285" s="323"/>
      <c r="E285" s="324">
        <v>50000</v>
      </c>
      <c r="F285" s="188">
        <f t="shared" si="19"/>
        <v>50000</v>
      </c>
      <c r="G285" s="323"/>
      <c r="H285" s="324"/>
      <c r="I285" s="188">
        <f t="shared" si="18"/>
        <v>0</v>
      </c>
    </row>
    <row r="286" spans="1:9" s="189" customFormat="1">
      <c r="A286" s="186">
        <v>187</v>
      </c>
      <c r="B286" s="186">
        <v>25</v>
      </c>
      <c r="C286" s="325" t="s">
        <v>650</v>
      </c>
      <c r="D286" s="323"/>
      <c r="E286" s="324"/>
      <c r="F286" s="326"/>
      <c r="G286" s="323"/>
      <c r="H286" s="324">
        <v>50000</v>
      </c>
      <c r="I286" s="188">
        <f t="shared" si="18"/>
        <v>50000</v>
      </c>
    </row>
    <row r="287" spans="1:9" s="189" customFormat="1">
      <c r="A287" s="186">
        <v>188</v>
      </c>
      <c r="B287" s="186">
        <v>26</v>
      </c>
      <c r="C287" s="325" t="s">
        <v>651</v>
      </c>
      <c r="D287" s="323"/>
      <c r="E287" s="324"/>
      <c r="F287" s="326"/>
      <c r="G287" s="323">
        <v>276000</v>
      </c>
      <c r="H287" s="324"/>
      <c r="I287" s="188">
        <f t="shared" si="18"/>
        <v>276000</v>
      </c>
    </row>
    <row r="288" spans="1:9" s="189" customFormat="1">
      <c r="A288" s="186">
        <v>189</v>
      </c>
      <c r="B288" s="186">
        <v>27</v>
      </c>
      <c r="C288" s="325" t="s">
        <v>652</v>
      </c>
      <c r="D288" s="323"/>
      <c r="E288" s="324"/>
      <c r="F288" s="326"/>
      <c r="G288" s="323"/>
      <c r="H288" s="324">
        <v>25000</v>
      </c>
      <c r="I288" s="188">
        <f t="shared" si="18"/>
        <v>25000</v>
      </c>
    </row>
    <row r="289" spans="1:9" ht="15.75" thickBot="1">
      <c r="A289" s="137" t="s">
        <v>101</v>
      </c>
      <c r="B289" s="138"/>
      <c r="C289" s="139"/>
      <c r="D289" s="140">
        <f>SUM(D262:D288)</f>
        <v>2856000</v>
      </c>
      <c r="E289" s="140">
        <f>SUM(E262:E288)</f>
        <v>1020000</v>
      </c>
      <c r="F289" s="140">
        <f>SUM(D289:E289)</f>
        <v>3876000</v>
      </c>
      <c r="G289" s="140">
        <f>SUM(G262:G288)</f>
        <v>7477000</v>
      </c>
      <c r="H289" s="140">
        <f>SUM(H262:H288)</f>
        <v>2683500</v>
      </c>
      <c r="I289" s="140">
        <f t="shared" si="18"/>
        <v>10160500</v>
      </c>
    </row>
    <row r="290" spans="1:9" ht="15.75" thickTop="1">
      <c r="A290" s="311" t="s">
        <v>570</v>
      </c>
      <c r="B290" s="312"/>
      <c r="C290" s="312"/>
      <c r="D290" s="312"/>
      <c r="E290" s="312"/>
      <c r="F290" s="312"/>
      <c r="G290" s="312"/>
      <c r="H290" s="312"/>
      <c r="I290" s="313"/>
    </row>
    <row r="291" spans="1:9">
      <c r="A291" s="251">
        <v>190</v>
      </c>
      <c r="B291" s="119">
        <v>1</v>
      </c>
      <c r="C291" s="252" t="s">
        <v>87</v>
      </c>
      <c r="D291" s="106"/>
      <c r="E291" s="253"/>
      <c r="F291" s="117">
        <f t="shared" ref="F291:F314" si="20">SUM(D291:E291)</f>
        <v>0</v>
      </c>
      <c r="G291" s="106"/>
      <c r="H291" s="253"/>
      <c r="I291" s="117">
        <f t="shared" ref="I291:I314" si="21">SUM(G291:H291)</f>
        <v>0</v>
      </c>
    </row>
    <row r="292" spans="1:9">
      <c r="A292" s="251">
        <v>191</v>
      </c>
      <c r="B292" s="119">
        <v>2</v>
      </c>
      <c r="C292" s="252" t="s">
        <v>83</v>
      </c>
      <c r="D292" s="106"/>
      <c r="E292" s="253"/>
      <c r="F292" s="117">
        <f t="shared" si="20"/>
        <v>0</v>
      </c>
      <c r="G292" s="106"/>
      <c r="H292" s="253"/>
      <c r="I292" s="117">
        <f t="shared" si="21"/>
        <v>0</v>
      </c>
    </row>
    <row r="293" spans="1:9">
      <c r="A293" s="251">
        <v>192</v>
      </c>
      <c r="B293" s="119">
        <v>3</v>
      </c>
      <c r="C293" s="252" t="s">
        <v>89</v>
      </c>
      <c r="D293" s="106"/>
      <c r="E293" s="253"/>
      <c r="F293" s="117">
        <f t="shared" si="20"/>
        <v>0</v>
      </c>
      <c r="G293" s="106"/>
      <c r="H293" s="253"/>
      <c r="I293" s="117">
        <f t="shared" si="21"/>
        <v>0</v>
      </c>
    </row>
    <row r="294" spans="1:9">
      <c r="A294" s="251">
        <v>193</v>
      </c>
      <c r="B294" s="119">
        <v>4</v>
      </c>
      <c r="C294" s="252" t="s">
        <v>79</v>
      </c>
      <c r="D294" s="106"/>
      <c r="E294" s="253"/>
      <c r="F294" s="117">
        <f t="shared" si="20"/>
        <v>0</v>
      </c>
      <c r="G294" s="106"/>
      <c r="H294" s="253"/>
      <c r="I294" s="117">
        <f t="shared" si="21"/>
        <v>0</v>
      </c>
    </row>
    <row r="295" spans="1:9">
      <c r="A295" s="251">
        <v>194</v>
      </c>
      <c r="B295" s="119">
        <v>5</v>
      </c>
      <c r="C295" s="254" t="s">
        <v>571</v>
      </c>
      <c r="D295" s="106"/>
      <c r="E295" s="253"/>
      <c r="F295" s="117">
        <f t="shared" si="20"/>
        <v>0</v>
      </c>
      <c r="G295" s="106"/>
      <c r="H295" s="253"/>
      <c r="I295" s="117">
        <f t="shared" si="21"/>
        <v>0</v>
      </c>
    </row>
    <row r="296" spans="1:9">
      <c r="A296" s="251">
        <v>195</v>
      </c>
      <c r="B296" s="119">
        <v>6</v>
      </c>
      <c r="C296" s="254" t="s">
        <v>572</v>
      </c>
      <c r="D296" s="106"/>
      <c r="E296" s="253"/>
      <c r="F296" s="117">
        <f t="shared" si="20"/>
        <v>0</v>
      </c>
      <c r="G296" s="106"/>
      <c r="H296" s="253"/>
      <c r="I296" s="117">
        <f t="shared" si="21"/>
        <v>0</v>
      </c>
    </row>
    <row r="297" spans="1:9">
      <c r="A297" s="251">
        <v>196</v>
      </c>
      <c r="B297" s="119">
        <v>7</v>
      </c>
      <c r="C297" s="254" t="s">
        <v>427</v>
      </c>
      <c r="D297" s="106"/>
      <c r="E297" s="253"/>
      <c r="F297" s="117">
        <f t="shared" si="20"/>
        <v>0</v>
      </c>
      <c r="G297" s="106"/>
      <c r="H297" s="253"/>
      <c r="I297" s="117">
        <f t="shared" si="21"/>
        <v>0</v>
      </c>
    </row>
    <row r="298" spans="1:9">
      <c r="A298" s="251">
        <v>197</v>
      </c>
      <c r="B298" s="119">
        <v>8</v>
      </c>
      <c r="C298" s="254" t="s">
        <v>573</v>
      </c>
      <c r="D298" s="106"/>
      <c r="E298" s="253"/>
      <c r="F298" s="117">
        <f t="shared" si="20"/>
        <v>0</v>
      </c>
      <c r="G298" s="106"/>
      <c r="H298" s="253"/>
      <c r="I298" s="117">
        <f t="shared" si="21"/>
        <v>0</v>
      </c>
    </row>
    <row r="299" spans="1:9">
      <c r="A299" s="251">
        <v>198</v>
      </c>
      <c r="B299" s="119">
        <v>9</v>
      </c>
      <c r="C299" s="252" t="s">
        <v>65</v>
      </c>
      <c r="D299" s="106"/>
      <c r="E299" s="253"/>
      <c r="F299" s="117">
        <f t="shared" si="20"/>
        <v>0</v>
      </c>
      <c r="G299" s="106"/>
      <c r="H299" s="253"/>
      <c r="I299" s="117">
        <f t="shared" si="21"/>
        <v>0</v>
      </c>
    </row>
    <row r="300" spans="1:9">
      <c r="A300" s="251">
        <v>199</v>
      </c>
      <c r="B300" s="119">
        <v>10</v>
      </c>
      <c r="C300" s="252" t="s">
        <v>84</v>
      </c>
      <c r="D300" s="106"/>
      <c r="E300" s="253"/>
      <c r="F300" s="117">
        <f t="shared" si="20"/>
        <v>0</v>
      </c>
      <c r="G300" s="106"/>
      <c r="H300" s="253"/>
      <c r="I300" s="117">
        <f t="shared" si="21"/>
        <v>0</v>
      </c>
    </row>
    <row r="301" spans="1:9">
      <c r="A301" s="251">
        <v>200</v>
      </c>
      <c r="B301" s="119">
        <v>11</v>
      </c>
      <c r="C301" s="254" t="s">
        <v>113</v>
      </c>
      <c r="D301" s="106"/>
      <c r="E301" s="253"/>
      <c r="F301" s="117">
        <f t="shared" si="20"/>
        <v>0</v>
      </c>
      <c r="G301" s="106"/>
      <c r="H301" s="253"/>
      <c r="I301" s="117">
        <f t="shared" si="21"/>
        <v>0</v>
      </c>
    </row>
    <row r="302" spans="1:9">
      <c r="A302" s="251">
        <v>201</v>
      </c>
      <c r="B302" s="119">
        <v>12</v>
      </c>
      <c r="C302" s="254" t="s">
        <v>131</v>
      </c>
      <c r="D302" s="106"/>
      <c r="E302" s="253">
        <v>385000</v>
      </c>
      <c r="F302" s="117">
        <f t="shared" si="20"/>
        <v>385000</v>
      </c>
      <c r="G302" s="106"/>
      <c r="H302" s="253"/>
      <c r="I302" s="117">
        <f t="shared" si="21"/>
        <v>0</v>
      </c>
    </row>
    <row r="303" spans="1:9">
      <c r="A303" s="251">
        <v>202</v>
      </c>
      <c r="B303" s="119">
        <v>13</v>
      </c>
      <c r="C303" s="254" t="s">
        <v>128</v>
      </c>
      <c r="D303" s="106"/>
      <c r="E303" s="253">
        <f>4875000+4550000</f>
        <v>9425000</v>
      </c>
      <c r="F303" s="117">
        <f t="shared" si="20"/>
        <v>9425000</v>
      </c>
      <c r="G303" s="106"/>
      <c r="H303" s="253"/>
      <c r="I303" s="117">
        <f t="shared" si="21"/>
        <v>0</v>
      </c>
    </row>
    <row r="304" spans="1:9">
      <c r="A304" s="251">
        <v>203</v>
      </c>
      <c r="B304" s="119">
        <v>14</v>
      </c>
      <c r="C304" s="254" t="s">
        <v>126</v>
      </c>
      <c r="D304" s="106"/>
      <c r="E304" s="253">
        <v>750000</v>
      </c>
      <c r="F304" s="117">
        <f t="shared" si="20"/>
        <v>750000</v>
      </c>
      <c r="G304" s="106"/>
      <c r="H304" s="253"/>
      <c r="I304" s="117"/>
    </row>
    <row r="305" spans="1:9">
      <c r="A305" s="251">
        <v>204</v>
      </c>
      <c r="B305" s="119">
        <v>15</v>
      </c>
      <c r="C305" s="254" t="s">
        <v>612</v>
      </c>
      <c r="D305" s="106"/>
      <c r="E305" s="253">
        <v>4022000</v>
      </c>
      <c r="F305" s="117">
        <f t="shared" si="20"/>
        <v>4022000</v>
      </c>
      <c r="G305" s="106"/>
      <c r="H305" s="253"/>
      <c r="I305" s="117">
        <f t="shared" si="21"/>
        <v>0</v>
      </c>
    </row>
    <row r="306" spans="1:9">
      <c r="A306" s="251">
        <v>205</v>
      </c>
      <c r="B306" s="119">
        <v>16</v>
      </c>
      <c r="C306" s="254" t="s">
        <v>574</v>
      </c>
      <c r="D306" s="106"/>
      <c r="F306" s="117">
        <f t="shared" si="20"/>
        <v>0</v>
      </c>
      <c r="G306" s="106"/>
      <c r="I306" s="117">
        <f t="shared" si="21"/>
        <v>0</v>
      </c>
    </row>
    <row r="307" spans="1:9">
      <c r="A307" s="251">
        <v>206</v>
      </c>
      <c r="B307" s="119">
        <v>17</v>
      </c>
      <c r="C307" s="252" t="s">
        <v>72</v>
      </c>
      <c r="D307" s="106"/>
      <c r="E307" s="253"/>
      <c r="F307" s="117">
        <f t="shared" si="20"/>
        <v>0</v>
      </c>
      <c r="G307" s="106"/>
      <c r="H307" s="253"/>
      <c r="I307" s="117">
        <f t="shared" si="21"/>
        <v>0</v>
      </c>
    </row>
    <row r="308" spans="1:9">
      <c r="A308" s="251">
        <v>207</v>
      </c>
      <c r="B308" s="119">
        <v>18</v>
      </c>
      <c r="C308" s="252" t="s">
        <v>85</v>
      </c>
      <c r="D308" s="106"/>
      <c r="E308" s="253"/>
      <c r="F308" s="117">
        <f t="shared" si="20"/>
        <v>0</v>
      </c>
      <c r="G308" s="106"/>
      <c r="H308" s="253"/>
      <c r="I308" s="117">
        <f t="shared" si="21"/>
        <v>0</v>
      </c>
    </row>
    <row r="309" spans="1:9">
      <c r="A309" s="251">
        <v>208</v>
      </c>
      <c r="B309" s="119">
        <v>19</v>
      </c>
      <c r="C309" s="255" t="s">
        <v>63</v>
      </c>
      <c r="D309" s="106"/>
      <c r="E309" s="253"/>
      <c r="F309" s="117">
        <f t="shared" si="20"/>
        <v>0</v>
      </c>
      <c r="G309" s="106"/>
      <c r="H309" s="253"/>
      <c r="I309" s="117">
        <f t="shared" si="21"/>
        <v>0</v>
      </c>
    </row>
    <row r="310" spans="1:9">
      <c r="A310" s="251">
        <v>209</v>
      </c>
      <c r="B310" s="119">
        <v>20</v>
      </c>
      <c r="C310" s="254" t="s">
        <v>99</v>
      </c>
      <c r="D310" s="106"/>
      <c r="E310" s="253"/>
      <c r="F310" s="117">
        <f t="shared" si="20"/>
        <v>0</v>
      </c>
      <c r="G310" s="106"/>
      <c r="H310" s="253"/>
      <c r="I310" s="117">
        <f t="shared" si="21"/>
        <v>0</v>
      </c>
    </row>
    <row r="311" spans="1:9">
      <c r="A311" s="251">
        <v>210</v>
      </c>
      <c r="B311" s="119">
        <v>21</v>
      </c>
      <c r="C311" s="254" t="s">
        <v>97</v>
      </c>
      <c r="D311" s="106"/>
      <c r="E311" s="253"/>
      <c r="F311" s="117">
        <f t="shared" si="20"/>
        <v>0</v>
      </c>
      <c r="G311" s="106"/>
      <c r="H311" s="253"/>
      <c r="I311" s="117">
        <f t="shared" si="21"/>
        <v>0</v>
      </c>
    </row>
    <row r="312" spans="1:9">
      <c r="A312" s="251">
        <v>211</v>
      </c>
      <c r="B312" s="119">
        <v>22</v>
      </c>
      <c r="C312" s="252" t="s">
        <v>82</v>
      </c>
      <c r="D312" s="106"/>
      <c r="E312" s="253"/>
      <c r="F312" s="117">
        <f t="shared" si="20"/>
        <v>0</v>
      </c>
      <c r="G312" s="106"/>
      <c r="H312" s="253"/>
      <c r="I312" s="117">
        <f t="shared" si="21"/>
        <v>0</v>
      </c>
    </row>
    <row r="313" spans="1:9">
      <c r="A313" s="251">
        <v>212</v>
      </c>
      <c r="B313" s="119">
        <v>23</v>
      </c>
      <c r="C313" s="254" t="s">
        <v>575</v>
      </c>
      <c r="D313" s="106"/>
      <c r="E313" s="299"/>
      <c r="F313" s="117">
        <f t="shared" si="20"/>
        <v>0</v>
      </c>
      <c r="G313" s="106"/>
      <c r="H313" s="299"/>
      <c r="I313" s="117">
        <f t="shared" si="21"/>
        <v>0</v>
      </c>
    </row>
    <row r="314" spans="1:9">
      <c r="A314" s="251">
        <v>213</v>
      </c>
      <c r="B314" s="119">
        <v>24</v>
      </c>
      <c r="C314" s="300" t="s">
        <v>613</v>
      </c>
      <c r="D314" s="295"/>
      <c r="E314" s="302">
        <v>376000</v>
      </c>
      <c r="F314" s="117">
        <f t="shared" si="20"/>
        <v>376000</v>
      </c>
      <c r="G314" s="295"/>
      <c r="H314" s="302"/>
      <c r="I314" s="117">
        <f t="shared" si="21"/>
        <v>0</v>
      </c>
    </row>
    <row r="315" spans="1:9" ht="15.75" thickBot="1">
      <c r="A315" s="137" t="s">
        <v>101</v>
      </c>
      <c r="B315" s="138"/>
      <c r="C315" s="139"/>
      <c r="D315" s="140">
        <f>SUM(D291:D313)</f>
        <v>0</v>
      </c>
      <c r="E315" s="140">
        <f>SUM(E291:E314)</f>
        <v>14958000</v>
      </c>
      <c r="F315" s="140">
        <f>SUM(D315:E315)</f>
        <v>14958000</v>
      </c>
      <c r="G315" s="140">
        <f>SUM(G291:G313)</f>
        <v>0</v>
      </c>
      <c r="H315" s="140">
        <f>SUM(H291:H314)</f>
        <v>0</v>
      </c>
      <c r="I315" s="140">
        <f>SUM(G315:H315)</f>
        <v>0</v>
      </c>
    </row>
    <row r="316" spans="1:9" ht="16.5" thickTop="1" thickBot="1">
      <c r="A316" s="141" t="s">
        <v>253</v>
      </c>
      <c r="B316" s="142"/>
      <c r="C316" s="142"/>
      <c r="D316" s="143">
        <f>D315+D289+D260+D256+D253+D197+D172+D150+D128+D125+D122+D116+D105+D89+D77+D74</f>
        <v>126074999</v>
      </c>
      <c r="E316" s="143">
        <f>E315+E289+E260+E256+E253+E197+E172+E150+E128+E125+E122+E116+E105+E89+E77+E74</f>
        <v>59463214</v>
      </c>
      <c r="F316" s="143">
        <f>SUM(D316:E316)</f>
        <v>185538213</v>
      </c>
      <c r="G316" s="143">
        <f>G315+G289+G260+G256+G253+G197+G172+G150+G128+G125+G122+G116+G105+G89+G77+G74</f>
        <v>126642830</v>
      </c>
      <c r="H316" s="143">
        <f>H315+H289+H260+H256+H253+H197+H172+H150+H128+H125+H122+H116+H105+H89+H77+H74</f>
        <v>53703734</v>
      </c>
      <c r="I316" s="143">
        <f>SUM(G316:H316)</f>
        <v>180346564</v>
      </c>
    </row>
    <row r="317" spans="1:9" ht="15.75" thickTop="1">
      <c r="A317" s="303"/>
      <c r="B317" s="303"/>
      <c r="C317" s="303"/>
      <c r="D317" s="304"/>
      <c r="E317" s="304"/>
      <c r="F317" s="304"/>
      <c r="G317" s="304"/>
      <c r="H317" s="304"/>
      <c r="I317" s="304"/>
    </row>
    <row r="318" spans="1:9">
      <c r="A318" s="303"/>
      <c r="B318" s="303"/>
      <c r="C318" s="303"/>
      <c r="D318" s="304"/>
      <c r="E318" s="304"/>
      <c r="F318" s="304"/>
      <c r="G318" s="304"/>
      <c r="H318" s="304"/>
      <c r="I318" s="304"/>
    </row>
    <row r="319" spans="1:9">
      <c r="A319" s="303"/>
      <c r="B319" s="303"/>
      <c r="C319" s="303"/>
      <c r="D319" s="304"/>
      <c r="E319" s="304"/>
      <c r="F319" s="304"/>
      <c r="G319" s="304"/>
      <c r="H319" s="304"/>
      <c r="I319" s="304"/>
    </row>
    <row r="320" spans="1:9">
      <c r="A320" s="146" t="s">
        <v>254</v>
      </c>
      <c r="B320" s="146"/>
      <c r="C320" s="146"/>
      <c r="D320" s="146"/>
      <c r="E320" s="146"/>
      <c r="F320" s="146"/>
      <c r="G320" s="146"/>
      <c r="H320" s="146"/>
      <c r="I320" s="146"/>
    </row>
    <row r="321" spans="1:9">
      <c r="A321" s="144"/>
      <c r="B321" s="147" t="s">
        <v>653</v>
      </c>
      <c r="C321" s="147"/>
      <c r="D321" s="147"/>
      <c r="E321" s="147"/>
      <c r="F321" s="147"/>
      <c r="G321" s="147"/>
      <c r="H321" s="147"/>
      <c r="I321" s="147"/>
    </row>
    <row r="322" spans="1:9">
      <c r="A322" s="148" t="s">
        <v>256</v>
      </c>
      <c r="B322" s="149" t="s">
        <v>23</v>
      </c>
      <c r="C322" s="150" t="s">
        <v>24</v>
      </c>
      <c r="D322" s="151"/>
      <c r="E322" s="151"/>
      <c r="F322" s="151"/>
      <c r="G322" s="151"/>
      <c r="H322" s="152"/>
      <c r="I322" s="153" t="s">
        <v>101</v>
      </c>
    </row>
    <row r="323" spans="1:9">
      <c r="A323" s="144"/>
      <c r="B323" s="154"/>
      <c r="C323" s="155"/>
      <c r="D323" s="156"/>
      <c r="E323" s="156"/>
      <c r="F323" s="156"/>
      <c r="G323" s="156"/>
      <c r="H323" s="157"/>
      <c r="I323" s="153" t="s">
        <v>257</v>
      </c>
    </row>
    <row r="324" spans="1:9">
      <c r="A324" s="144"/>
      <c r="B324" s="158"/>
      <c r="C324" s="159" t="s">
        <v>258</v>
      </c>
      <c r="D324" s="160"/>
      <c r="E324" s="160"/>
      <c r="F324" s="160"/>
      <c r="G324" s="160"/>
      <c r="H324" s="161"/>
      <c r="I324" s="162"/>
    </row>
    <row r="325" spans="1:9">
      <c r="A325" s="144"/>
      <c r="B325" s="163">
        <v>1</v>
      </c>
      <c r="C325" s="256" t="s">
        <v>620</v>
      </c>
      <c r="D325" s="175"/>
      <c r="E325" s="175"/>
      <c r="F325" s="175"/>
      <c r="G325" s="175"/>
      <c r="H325" s="239"/>
      <c r="I325" s="257"/>
    </row>
    <row r="326" spans="1:9">
      <c r="A326" s="144"/>
      <c r="B326" s="163"/>
      <c r="C326" s="256" t="s">
        <v>654</v>
      </c>
      <c r="D326" s="175"/>
      <c r="E326" s="175"/>
      <c r="F326" s="175"/>
      <c r="G326" s="175"/>
      <c r="H326" s="239"/>
      <c r="I326" s="257">
        <f>1200000</f>
        <v>1200000</v>
      </c>
    </row>
    <row r="327" spans="1:9">
      <c r="A327" s="144"/>
      <c r="B327" s="163"/>
      <c r="C327" s="256" t="s">
        <v>655</v>
      </c>
      <c r="D327" s="175"/>
      <c r="E327" s="175"/>
      <c r="F327" s="175"/>
      <c r="G327" s="175"/>
      <c r="H327" s="239"/>
      <c r="I327" s="257">
        <f>5000000</f>
        <v>5000000</v>
      </c>
    </row>
    <row r="328" spans="1:9">
      <c r="A328" s="144"/>
      <c r="B328" s="163"/>
      <c r="C328" s="256" t="s">
        <v>656</v>
      </c>
      <c r="D328" s="175"/>
      <c r="E328" s="175"/>
      <c r="F328" s="175"/>
      <c r="G328" s="175"/>
      <c r="H328" s="239"/>
      <c r="I328" s="257">
        <v>1200000</v>
      </c>
    </row>
    <row r="329" spans="1:9">
      <c r="A329" s="144"/>
      <c r="B329" s="163"/>
      <c r="C329" s="256" t="s">
        <v>657</v>
      </c>
      <c r="D329" s="175"/>
      <c r="E329" s="175"/>
      <c r="F329" s="175"/>
      <c r="G329" s="175"/>
      <c r="H329" s="239"/>
      <c r="I329" s="257">
        <f>5000000</f>
        <v>5000000</v>
      </c>
    </row>
    <row r="330" spans="1:9">
      <c r="A330" s="144"/>
      <c r="B330" s="163">
        <v>2</v>
      </c>
      <c r="C330" s="256" t="s">
        <v>658</v>
      </c>
      <c r="D330" s="175"/>
      <c r="E330" s="175"/>
      <c r="F330" s="175"/>
      <c r="G330" s="175"/>
      <c r="H330" s="239"/>
      <c r="I330" s="257">
        <f>7000000</f>
        <v>7000000</v>
      </c>
    </row>
    <row r="331" spans="1:9">
      <c r="A331" s="144"/>
      <c r="B331" s="163">
        <v>3</v>
      </c>
      <c r="C331" s="256" t="s">
        <v>578</v>
      </c>
      <c r="D331" s="175"/>
      <c r="E331" s="175"/>
      <c r="F331" s="175"/>
      <c r="G331" s="175"/>
      <c r="H331" s="239"/>
      <c r="I331" s="257">
        <f>355000</f>
        <v>355000</v>
      </c>
    </row>
    <row r="332" spans="1:9">
      <c r="A332" s="144"/>
      <c r="B332" s="163">
        <v>4</v>
      </c>
      <c r="C332" s="314" t="s">
        <v>659</v>
      </c>
      <c r="D332" s="191"/>
      <c r="E332" s="191"/>
      <c r="F332" s="191"/>
      <c r="G332" s="191"/>
      <c r="H332" s="192"/>
      <c r="I332" s="257">
        <f>5000000</f>
        <v>5000000</v>
      </c>
    </row>
    <row r="333" spans="1:9">
      <c r="A333" s="168"/>
      <c r="B333" s="169" t="s">
        <v>58</v>
      </c>
      <c r="C333" s="170"/>
      <c r="D333" s="170"/>
      <c r="E333" s="170"/>
      <c r="F333" s="170"/>
      <c r="G333" s="170"/>
      <c r="H333" s="171"/>
      <c r="I333" s="172">
        <f>SUM(I325:I332)</f>
        <v>24755000</v>
      </c>
    </row>
    <row r="334" spans="1:9">
      <c r="A334" s="145"/>
      <c r="B334" s="145"/>
      <c r="C334" s="145"/>
      <c r="D334" s="145"/>
      <c r="E334" s="145"/>
      <c r="F334" s="145"/>
      <c r="G334" s="145"/>
      <c r="H334" s="145"/>
      <c r="I334" s="145"/>
    </row>
    <row r="335" spans="1:9">
      <c r="A335" s="148" t="s">
        <v>260</v>
      </c>
      <c r="B335" s="149" t="s">
        <v>23</v>
      </c>
      <c r="C335" s="150" t="s">
        <v>24</v>
      </c>
      <c r="D335" s="151"/>
      <c r="E335" s="151"/>
      <c r="F335" s="151"/>
      <c r="G335" s="151"/>
      <c r="H335" s="152"/>
      <c r="I335" s="153" t="s">
        <v>101</v>
      </c>
    </row>
    <row r="336" spans="1:9">
      <c r="A336" s="145"/>
      <c r="B336" s="154"/>
      <c r="C336" s="155"/>
      <c r="D336" s="156"/>
      <c r="E336" s="156"/>
      <c r="F336" s="156"/>
      <c r="G336" s="156"/>
      <c r="H336" s="157"/>
      <c r="I336" s="153" t="s">
        <v>257</v>
      </c>
    </row>
    <row r="337" spans="1:9">
      <c r="A337" s="145"/>
      <c r="B337" s="158"/>
      <c r="C337" s="159" t="s">
        <v>261</v>
      </c>
      <c r="D337" s="160"/>
      <c r="E337" s="160"/>
      <c r="F337" s="160"/>
      <c r="G337" s="160"/>
      <c r="H337" s="161"/>
      <c r="I337" s="173"/>
    </row>
    <row r="338" spans="1:9">
      <c r="A338" s="145"/>
      <c r="B338" s="163">
        <v>1</v>
      </c>
      <c r="C338" s="176" t="s">
        <v>503</v>
      </c>
      <c r="D338" s="175"/>
      <c r="E338" s="175"/>
      <c r="F338" s="175"/>
      <c r="G338" s="175"/>
      <c r="H338" s="175"/>
      <c r="I338" s="173"/>
    </row>
    <row r="339" spans="1:9">
      <c r="A339" s="145"/>
      <c r="B339" s="163"/>
      <c r="C339" s="241" t="s">
        <v>579</v>
      </c>
      <c r="D339" s="177"/>
      <c r="E339" s="177"/>
      <c r="F339" s="177"/>
      <c r="G339" s="177"/>
      <c r="H339" s="177"/>
      <c r="I339" s="258">
        <f>4960000</f>
        <v>4960000</v>
      </c>
    </row>
    <row r="340" spans="1:9">
      <c r="A340" s="145"/>
      <c r="B340" s="158"/>
      <c r="C340" s="241" t="s">
        <v>580</v>
      </c>
      <c r="D340" s="177"/>
      <c r="E340" s="177"/>
      <c r="F340" s="177"/>
      <c r="G340" s="177"/>
      <c r="H340" s="177"/>
      <c r="I340" s="258">
        <f>114400</f>
        <v>114400</v>
      </c>
    </row>
    <row r="341" spans="1:9">
      <c r="A341" s="145"/>
      <c r="B341" s="163"/>
      <c r="C341" s="241" t="s">
        <v>581</v>
      </c>
      <c r="D341" s="177"/>
      <c r="E341" s="177"/>
      <c r="F341" s="177"/>
      <c r="G341" s="177"/>
      <c r="H341" s="177"/>
      <c r="I341" s="258">
        <f>259800</f>
        <v>259800</v>
      </c>
    </row>
    <row r="342" spans="1:9">
      <c r="A342" s="145"/>
      <c r="B342" s="158"/>
      <c r="C342" s="241" t="s">
        <v>582</v>
      </c>
      <c r="D342" s="177"/>
      <c r="E342" s="177"/>
      <c r="F342" s="177"/>
      <c r="G342" s="177"/>
      <c r="H342" s="177"/>
      <c r="I342" s="258">
        <f>2196260</f>
        <v>2196260</v>
      </c>
    </row>
    <row r="343" spans="1:9">
      <c r="A343" s="145"/>
      <c r="B343" s="158"/>
      <c r="C343" s="241" t="s">
        <v>623</v>
      </c>
      <c r="D343" s="177"/>
      <c r="E343" s="177"/>
      <c r="F343" s="177"/>
      <c r="G343" s="177"/>
      <c r="H343" s="177"/>
      <c r="I343" s="258">
        <f>2336000</f>
        <v>2336000</v>
      </c>
    </row>
    <row r="344" spans="1:9">
      <c r="A344" s="145"/>
      <c r="B344" s="163">
        <v>2</v>
      </c>
      <c r="C344" s="241" t="s">
        <v>625</v>
      </c>
      <c r="D344" s="177"/>
      <c r="E344" s="177"/>
      <c r="F344" s="177"/>
      <c r="G344" s="177"/>
      <c r="H344" s="177"/>
      <c r="I344" s="258"/>
    </row>
    <row r="345" spans="1:9">
      <c r="A345" s="145"/>
      <c r="B345" s="163"/>
      <c r="C345" s="241" t="s">
        <v>660</v>
      </c>
      <c r="D345" s="177"/>
      <c r="E345" s="177"/>
      <c r="F345" s="177"/>
      <c r="G345" s="177"/>
      <c r="H345" s="177"/>
      <c r="I345" s="258">
        <f>500000</f>
        <v>500000</v>
      </c>
    </row>
    <row r="346" spans="1:9">
      <c r="A346" s="145"/>
      <c r="B346" s="158"/>
      <c r="C346" s="241" t="s">
        <v>661</v>
      </c>
      <c r="D346" s="177"/>
      <c r="E346" s="177"/>
      <c r="F346" s="177"/>
      <c r="G346" s="177"/>
      <c r="H346" s="177"/>
      <c r="I346" s="258">
        <f>1000000</f>
        <v>1000000</v>
      </c>
    </row>
    <row r="347" spans="1:9">
      <c r="A347" s="145"/>
      <c r="B347" s="158"/>
      <c r="C347" s="241" t="s">
        <v>662</v>
      </c>
      <c r="D347" s="177"/>
      <c r="E347" s="177"/>
      <c r="F347" s="177"/>
      <c r="G347" s="177"/>
      <c r="H347" s="177"/>
      <c r="I347" s="258">
        <f>1000000</f>
        <v>1000000</v>
      </c>
    </row>
    <row r="348" spans="1:9">
      <c r="A348" s="145"/>
      <c r="B348" s="158"/>
      <c r="C348" s="241" t="s">
        <v>663</v>
      </c>
      <c r="D348" s="177"/>
      <c r="E348" s="177"/>
      <c r="F348" s="177"/>
      <c r="G348" s="177"/>
      <c r="H348" s="177"/>
      <c r="I348" s="258">
        <f>500000</f>
        <v>500000</v>
      </c>
    </row>
    <row r="349" spans="1:9">
      <c r="A349" s="145"/>
      <c r="B349" s="158"/>
      <c r="C349" s="241" t="s">
        <v>664</v>
      </c>
      <c r="D349" s="177"/>
      <c r="E349" s="177"/>
      <c r="F349" s="177"/>
      <c r="G349" s="177"/>
      <c r="H349" s="177"/>
      <c r="I349" s="258">
        <f>2000000</f>
        <v>2000000</v>
      </c>
    </row>
    <row r="350" spans="1:9">
      <c r="A350" s="145"/>
      <c r="B350" s="163">
        <v>3</v>
      </c>
      <c r="C350" s="259" t="s">
        <v>628</v>
      </c>
      <c r="D350" s="260"/>
      <c r="E350" s="260"/>
      <c r="F350" s="260"/>
      <c r="G350" s="260"/>
      <c r="H350" s="260"/>
      <c r="I350" s="258"/>
    </row>
    <row r="351" spans="1:9">
      <c r="A351" s="145"/>
      <c r="B351" s="163"/>
      <c r="C351" s="259" t="s">
        <v>665</v>
      </c>
      <c r="D351" s="260"/>
      <c r="E351" s="260"/>
      <c r="F351" s="260"/>
      <c r="G351" s="260"/>
      <c r="H351" s="260"/>
      <c r="I351" s="258">
        <f>970500</f>
        <v>970500</v>
      </c>
    </row>
    <row r="352" spans="1:9">
      <c r="A352" s="145"/>
      <c r="B352" s="163"/>
      <c r="C352" s="259" t="s">
        <v>666</v>
      </c>
      <c r="D352" s="260"/>
      <c r="E352" s="260"/>
      <c r="F352" s="260"/>
      <c r="G352" s="260"/>
      <c r="H352" s="260"/>
      <c r="I352" s="258">
        <v>760000</v>
      </c>
    </row>
    <row r="353" spans="1:9">
      <c r="A353" s="145"/>
      <c r="B353" s="163">
        <v>4</v>
      </c>
      <c r="C353" s="259" t="s">
        <v>508</v>
      </c>
      <c r="D353" s="260"/>
      <c r="E353" s="260"/>
      <c r="F353" s="260"/>
      <c r="G353" s="260"/>
      <c r="H353" s="260"/>
      <c r="I353" s="258">
        <f>100000+100000+30000+25000</f>
        <v>255000</v>
      </c>
    </row>
    <row r="354" spans="1:9">
      <c r="A354" s="145"/>
      <c r="B354" s="163">
        <v>5</v>
      </c>
      <c r="C354" s="259" t="s">
        <v>667</v>
      </c>
      <c r="D354" s="260"/>
      <c r="E354" s="260"/>
      <c r="F354" s="260"/>
      <c r="G354" s="260"/>
      <c r="H354" s="260"/>
      <c r="I354" s="258"/>
    </row>
    <row r="355" spans="1:9">
      <c r="A355" s="145"/>
      <c r="B355" s="163"/>
      <c r="C355" s="259" t="s">
        <v>668</v>
      </c>
      <c r="D355" s="260"/>
      <c r="E355" s="260"/>
      <c r="F355" s="260"/>
      <c r="G355" s="260"/>
      <c r="H355" s="260"/>
      <c r="I355" s="258">
        <f>300000</f>
        <v>300000</v>
      </c>
    </row>
    <row r="356" spans="1:9">
      <c r="A356" s="145"/>
      <c r="B356" s="163"/>
      <c r="C356" s="259" t="s">
        <v>669</v>
      </c>
      <c r="D356" s="260"/>
      <c r="E356" s="260"/>
      <c r="F356" s="260"/>
      <c r="G356" s="260"/>
      <c r="H356" s="260"/>
      <c r="I356" s="258">
        <f>1000000</f>
        <v>1000000</v>
      </c>
    </row>
    <row r="357" spans="1:9">
      <c r="A357" s="145"/>
      <c r="B357" s="163"/>
      <c r="C357" s="259" t="s">
        <v>670</v>
      </c>
      <c r="D357" s="260"/>
      <c r="E357" s="260"/>
      <c r="F357" s="260"/>
      <c r="G357" s="260"/>
      <c r="H357" s="260"/>
      <c r="I357" s="258">
        <f>4000000</f>
        <v>4000000</v>
      </c>
    </row>
    <row r="358" spans="1:9">
      <c r="A358" s="145"/>
      <c r="B358" s="163"/>
      <c r="C358" s="259" t="s">
        <v>671</v>
      </c>
      <c r="D358" s="260"/>
      <c r="E358" s="260"/>
      <c r="F358" s="260"/>
      <c r="G358" s="260"/>
      <c r="H358" s="260"/>
      <c r="I358" s="258">
        <v>5000000</v>
      </c>
    </row>
    <row r="359" spans="1:9">
      <c r="A359" s="145"/>
      <c r="B359" s="163"/>
      <c r="C359" s="259" t="s">
        <v>672</v>
      </c>
      <c r="D359" s="260"/>
      <c r="E359" s="260"/>
      <c r="F359" s="260"/>
      <c r="G359" s="260"/>
      <c r="H359" s="260"/>
      <c r="I359" s="258">
        <v>4000000</v>
      </c>
    </row>
    <row r="360" spans="1:9">
      <c r="A360" s="145"/>
      <c r="B360" s="163"/>
      <c r="C360" s="259" t="s">
        <v>673</v>
      </c>
      <c r="D360" s="260"/>
      <c r="E360" s="260"/>
      <c r="F360" s="260"/>
      <c r="G360" s="260"/>
      <c r="H360" s="260"/>
      <c r="I360" s="258">
        <v>5000000</v>
      </c>
    </row>
    <row r="361" spans="1:9">
      <c r="A361" s="145"/>
      <c r="B361" s="163"/>
      <c r="C361" s="259" t="s">
        <v>674</v>
      </c>
      <c r="D361" s="260"/>
      <c r="E361" s="260"/>
      <c r="F361" s="260"/>
      <c r="G361" s="260"/>
      <c r="H361" s="260"/>
      <c r="I361" s="258">
        <v>5000000</v>
      </c>
    </row>
    <row r="362" spans="1:9">
      <c r="A362" s="145"/>
      <c r="B362" s="163"/>
      <c r="C362" s="259" t="s">
        <v>675</v>
      </c>
      <c r="D362" s="260"/>
      <c r="E362" s="260"/>
      <c r="F362" s="260"/>
      <c r="G362" s="260"/>
      <c r="H362" s="260"/>
      <c r="I362" s="258">
        <v>4000000</v>
      </c>
    </row>
    <row r="363" spans="1:9">
      <c r="A363" s="145"/>
      <c r="B363" s="163"/>
      <c r="C363" s="259" t="s">
        <v>676</v>
      </c>
      <c r="D363" s="260"/>
      <c r="E363" s="260"/>
      <c r="F363" s="260"/>
      <c r="G363" s="260"/>
      <c r="H363" s="260"/>
      <c r="I363" s="258">
        <v>5000000</v>
      </c>
    </row>
    <row r="364" spans="1:9">
      <c r="A364" s="145"/>
      <c r="B364" s="163"/>
      <c r="C364" s="259" t="s">
        <v>677</v>
      </c>
      <c r="D364" s="260"/>
      <c r="E364" s="260"/>
      <c r="F364" s="260"/>
      <c r="G364" s="260"/>
      <c r="H364" s="260"/>
      <c r="I364" s="258">
        <v>4000000</v>
      </c>
    </row>
    <row r="365" spans="1:9">
      <c r="A365" s="145"/>
      <c r="B365" s="163"/>
      <c r="C365" s="259" t="s">
        <v>678</v>
      </c>
      <c r="D365" s="260"/>
      <c r="E365" s="260"/>
      <c r="F365" s="260"/>
      <c r="G365" s="260"/>
      <c r="H365" s="260"/>
      <c r="I365" s="258">
        <v>5000000</v>
      </c>
    </row>
    <row r="366" spans="1:9">
      <c r="A366" s="145"/>
      <c r="B366" s="163"/>
      <c r="C366" s="259" t="s">
        <v>679</v>
      </c>
      <c r="D366" s="260"/>
      <c r="E366" s="260"/>
      <c r="F366" s="260"/>
      <c r="G366" s="260"/>
      <c r="H366" s="260"/>
      <c r="I366" s="258">
        <v>4000000</v>
      </c>
    </row>
    <row r="367" spans="1:9">
      <c r="A367" s="145"/>
      <c r="B367" s="163"/>
      <c r="C367" s="259" t="s">
        <v>680</v>
      </c>
      <c r="D367" s="260"/>
      <c r="E367" s="260"/>
      <c r="F367" s="260"/>
      <c r="G367" s="260"/>
      <c r="H367" s="260"/>
      <c r="I367" s="258">
        <v>5000000</v>
      </c>
    </row>
    <row r="368" spans="1:9">
      <c r="A368" s="145"/>
      <c r="B368" s="163"/>
      <c r="C368" s="259" t="s">
        <v>681</v>
      </c>
      <c r="D368" s="260"/>
      <c r="E368" s="260"/>
      <c r="F368" s="260"/>
      <c r="G368" s="260"/>
      <c r="H368" s="260"/>
      <c r="I368" s="258">
        <v>5000000</v>
      </c>
    </row>
    <row r="369" spans="1:9">
      <c r="A369" s="145"/>
      <c r="B369" s="163"/>
      <c r="C369" s="259" t="s">
        <v>682</v>
      </c>
      <c r="D369" s="260"/>
      <c r="E369" s="260"/>
      <c r="F369" s="260"/>
      <c r="G369" s="260"/>
      <c r="H369" s="260"/>
      <c r="I369" s="258">
        <v>3000000</v>
      </c>
    </row>
    <row r="370" spans="1:9">
      <c r="A370" s="145"/>
      <c r="B370" s="163"/>
      <c r="C370" s="259" t="s">
        <v>683</v>
      </c>
      <c r="D370" s="260"/>
      <c r="E370" s="260"/>
      <c r="F370" s="260"/>
      <c r="G370" s="260"/>
      <c r="H370" s="260"/>
      <c r="I370" s="258">
        <v>2500000</v>
      </c>
    </row>
    <row r="371" spans="1:9">
      <c r="A371" s="145"/>
      <c r="B371" s="163"/>
      <c r="C371" s="259" t="s">
        <v>684</v>
      </c>
      <c r="D371" s="260"/>
      <c r="E371" s="260"/>
      <c r="F371" s="260"/>
      <c r="G371" s="260"/>
      <c r="H371" s="260"/>
      <c r="I371" s="258">
        <v>4000000</v>
      </c>
    </row>
    <row r="372" spans="1:9">
      <c r="A372" s="145"/>
      <c r="B372" s="163"/>
      <c r="C372" s="259" t="s">
        <v>685</v>
      </c>
      <c r="D372" s="260"/>
      <c r="E372" s="260"/>
      <c r="F372" s="260"/>
      <c r="G372" s="260"/>
      <c r="H372" s="260"/>
      <c r="I372" s="258">
        <v>2000000</v>
      </c>
    </row>
    <row r="373" spans="1:9">
      <c r="A373" s="145"/>
      <c r="B373" s="163"/>
      <c r="C373" s="259" t="s">
        <v>686</v>
      </c>
      <c r="D373" s="260"/>
      <c r="E373" s="260"/>
      <c r="F373" s="260"/>
      <c r="G373" s="260"/>
      <c r="H373" s="260"/>
      <c r="I373" s="258">
        <v>2000000</v>
      </c>
    </row>
    <row r="374" spans="1:9">
      <c r="A374" s="145"/>
      <c r="B374" s="163"/>
      <c r="C374" s="259" t="s">
        <v>687</v>
      </c>
      <c r="D374" s="260"/>
      <c r="E374" s="260"/>
      <c r="F374" s="260"/>
      <c r="G374" s="260"/>
      <c r="H374" s="260"/>
      <c r="I374" s="258">
        <v>2000000</v>
      </c>
    </row>
    <row r="375" spans="1:9">
      <c r="A375" s="145"/>
      <c r="B375" s="163"/>
      <c r="C375" s="259" t="s">
        <v>688</v>
      </c>
      <c r="D375" s="260"/>
      <c r="E375" s="260"/>
      <c r="F375" s="260"/>
      <c r="G375" s="260"/>
      <c r="H375" s="260"/>
      <c r="I375" s="258">
        <v>1500000</v>
      </c>
    </row>
    <row r="376" spans="1:9">
      <c r="A376" s="145"/>
      <c r="B376" s="163"/>
      <c r="C376" s="259" t="s">
        <v>689</v>
      </c>
      <c r="D376" s="260"/>
      <c r="E376" s="260"/>
      <c r="F376" s="260"/>
      <c r="G376" s="260"/>
      <c r="H376" s="260"/>
      <c r="I376" s="258">
        <v>2000000</v>
      </c>
    </row>
    <row r="377" spans="1:9">
      <c r="A377" s="145"/>
      <c r="B377" s="163"/>
      <c r="C377" s="259" t="s">
        <v>690</v>
      </c>
      <c r="D377" s="260"/>
      <c r="E377" s="260"/>
      <c r="F377" s="260"/>
      <c r="G377" s="260"/>
      <c r="H377" s="260"/>
      <c r="I377" s="258">
        <v>2000000</v>
      </c>
    </row>
    <row r="378" spans="1:9">
      <c r="A378" s="145"/>
      <c r="B378" s="163"/>
      <c r="C378" s="259" t="s">
        <v>691</v>
      </c>
      <c r="D378" s="260"/>
      <c r="E378" s="260"/>
      <c r="F378" s="260"/>
      <c r="G378" s="260"/>
      <c r="H378" s="260"/>
      <c r="I378" s="258">
        <v>1500000</v>
      </c>
    </row>
    <row r="379" spans="1:9">
      <c r="A379" s="145"/>
      <c r="B379" s="163"/>
      <c r="C379" s="259" t="s">
        <v>692</v>
      </c>
      <c r="D379" s="260"/>
      <c r="E379" s="260"/>
      <c r="F379" s="260"/>
      <c r="G379" s="260"/>
      <c r="H379" s="260"/>
      <c r="I379" s="258">
        <v>1000000</v>
      </c>
    </row>
    <row r="380" spans="1:9">
      <c r="A380" s="145"/>
      <c r="B380" s="163"/>
      <c r="C380" s="259" t="s">
        <v>693</v>
      </c>
      <c r="D380" s="260"/>
      <c r="E380" s="260"/>
      <c r="F380" s="260"/>
      <c r="G380" s="260"/>
      <c r="H380" s="260"/>
      <c r="I380" s="258">
        <v>1000000</v>
      </c>
    </row>
    <row r="381" spans="1:9">
      <c r="A381" s="145"/>
      <c r="B381" s="163">
        <v>6</v>
      </c>
      <c r="C381" s="259" t="s">
        <v>694</v>
      </c>
      <c r="D381" s="260"/>
      <c r="E381" s="260"/>
      <c r="F381" s="260"/>
      <c r="G381" s="260"/>
      <c r="H381" s="260"/>
      <c r="I381" s="258">
        <f>2108500</f>
        <v>2108500</v>
      </c>
    </row>
    <row r="382" spans="1:9">
      <c r="A382" s="168"/>
      <c r="B382" s="178" t="s">
        <v>58</v>
      </c>
      <c r="C382" s="179"/>
      <c r="D382" s="179"/>
      <c r="E382" s="179"/>
      <c r="F382" s="179"/>
      <c r="G382" s="179"/>
      <c r="H382" s="179"/>
      <c r="I382" s="172">
        <f>SUM(I338:I381)</f>
        <v>99760460</v>
      </c>
    </row>
    <row r="383" spans="1:9" s="318" customFormat="1">
      <c r="A383" s="315"/>
      <c r="B383" s="316"/>
      <c r="C383" s="316"/>
      <c r="D383" s="316"/>
      <c r="E383" s="316"/>
      <c r="F383" s="316"/>
      <c r="G383" s="316"/>
      <c r="H383" s="316"/>
      <c r="I383" s="317"/>
    </row>
    <row r="384" spans="1:9">
      <c r="A384" s="144"/>
      <c r="B384" s="144"/>
      <c r="C384" s="180" t="s">
        <v>42</v>
      </c>
      <c r="D384" s="181"/>
      <c r="G384" s="146" t="s">
        <v>560</v>
      </c>
      <c r="H384" s="146"/>
    </row>
    <row r="385" spans="1:9">
      <c r="A385" s="144"/>
      <c r="B385" s="144"/>
      <c r="C385" s="144"/>
      <c r="D385" s="182"/>
      <c r="G385" s="144"/>
      <c r="H385" s="144"/>
    </row>
    <row r="386" spans="1:9">
      <c r="A386" s="144"/>
      <c r="B386" s="183"/>
      <c r="C386" s="184" t="s">
        <v>344</v>
      </c>
      <c r="D386" s="184"/>
      <c r="E386" s="193"/>
      <c r="F386" s="193"/>
      <c r="G386" s="261" t="s">
        <v>344</v>
      </c>
      <c r="H386" s="261"/>
    </row>
    <row r="387" spans="1:9">
      <c r="A387" s="144"/>
      <c r="B387" s="183"/>
      <c r="C387" s="180" t="s">
        <v>268</v>
      </c>
      <c r="D387" s="144"/>
      <c r="G387" s="262" t="s">
        <v>596</v>
      </c>
      <c r="H387" s="262"/>
    </row>
    <row r="388" spans="1:9">
      <c r="A388" s="303"/>
      <c r="B388" s="303"/>
      <c r="C388" s="303"/>
      <c r="D388" s="304"/>
      <c r="E388" s="304"/>
      <c r="F388" s="304"/>
      <c r="G388" s="304"/>
      <c r="H388" s="304"/>
      <c r="I388" s="304"/>
    </row>
  </sheetData>
  <mergeCells count="74">
    <mergeCell ref="G384:H384"/>
    <mergeCell ref="G386:H386"/>
    <mergeCell ref="C324:H324"/>
    <mergeCell ref="B333:H333"/>
    <mergeCell ref="B335:B336"/>
    <mergeCell ref="C335:H336"/>
    <mergeCell ref="C337:H337"/>
    <mergeCell ref="B382:H382"/>
    <mergeCell ref="A290:I290"/>
    <mergeCell ref="A315:C315"/>
    <mergeCell ref="A316:C316"/>
    <mergeCell ref="A320:I320"/>
    <mergeCell ref="B321:I321"/>
    <mergeCell ref="B322:B323"/>
    <mergeCell ref="C322:H323"/>
    <mergeCell ref="A254:I254"/>
    <mergeCell ref="A256:C256"/>
    <mergeCell ref="A257:I257"/>
    <mergeCell ref="A260:C260"/>
    <mergeCell ref="A261:I261"/>
    <mergeCell ref="A289:C289"/>
    <mergeCell ref="A151:I151"/>
    <mergeCell ref="A172:C172"/>
    <mergeCell ref="A173:I173"/>
    <mergeCell ref="A197:C197"/>
    <mergeCell ref="A198:I198"/>
    <mergeCell ref="A253:C253"/>
    <mergeCell ref="A123:I123"/>
    <mergeCell ref="A125:C125"/>
    <mergeCell ref="A126:I126"/>
    <mergeCell ref="A128:C128"/>
    <mergeCell ref="A129:I129"/>
    <mergeCell ref="A150:C150"/>
    <mergeCell ref="A90:I90"/>
    <mergeCell ref="A105:C105"/>
    <mergeCell ref="A106:I106"/>
    <mergeCell ref="A116:C116"/>
    <mergeCell ref="A117:I117"/>
    <mergeCell ref="A122:C122"/>
    <mergeCell ref="A71:I71"/>
    <mergeCell ref="A74:C74"/>
    <mergeCell ref="A75:I75"/>
    <mergeCell ref="A77:C77"/>
    <mergeCell ref="A78:I78"/>
    <mergeCell ref="A89:C89"/>
    <mergeCell ref="A68:A70"/>
    <mergeCell ref="B68:C70"/>
    <mergeCell ref="D68:E68"/>
    <mergeCell ref="F68:F70"/>
    <mergeCell ref="G68:H68"/>
    <mergeCell ref="I68:I70"/>
    <mergeCell ref="D69:E69"/>
    <mergeCell ref="G69:H69"/>
    <mergeCell ref="E52:F52"/>
    <mergeCell ref="E54:F54"/>
    <mergeCell ref="E55:F55"/>
    <mergeCell ref="A64:I64"/>
    <mergeCell ref="A65:I65"/>
    <mergeCell ref="A66:I66"/>
    <mergeCell ref="A8:B8"/>
    <mergeCell ref="A9:B9"/>
    <mergeCell ref="A10:B10"/>
    <mergeCell ref="E24:F24"/>
    <mergeCell ref="B25:B26"/>
    <mergeCell ref="C25:C26"/>
    <mergeCell ref="D25:D26"/>
    <mergeCell ref="E25:E26"/>
    <mergeCell ref="F25:F26"/>
    <mergeCell ref="B1:F1"/>
    <mergeCell ref="B2:F2"/>
    <mergeCell ref="B3:F3"/>
    <mergeCell ref="A4:F4"/>
    <mergeCell ref="A5:F5"/>
    <mergeCell ref="E7:F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8"/>
  <sheetViews>
    <sheetView tabSelected="1" topLeftCell="A264" workbookViewId="0">
      <selection activeCell="E81" sqref="E81"/>
    </sheetView>
  </sheetViews>
  <sheetFormatPr defaultRowHeight="15"/>
  <cols>
    <col min="1" max="1" width="5.7109375" customWidth="1"/>
    <col min="2" max="2" width="5.5703125" customWidth="1"/>
    <col min="3" max="3" width="35.5703125" customWidth="1"/>
    <col min="4" max="4" width="18.7109375" customWidth="1"/>
    <col min="5" max="5" width="21.140625" customWidth="1"/>
    <col min="6" max="6" width="18.7109375" customWidth="1"/>
    <col min="7" max="8" width="13.7109375" customWidth="1"/>
    <col min="9" max="9" width="15.28515625" customWidth="1"/>
  </cols>
  <sheetData>
    <row r="1" spans="1:6" ht="30">
      <c r="B1" s="208" t="s">
        <v>0</v>
      </c>
      <c r="C1" s="208"/>
      <c r="D1" s="208"/>
      <c r="E1" s="208"/>
      <c r="F1" s="208"/>
    </row>
    <row r="2" spans="1:6" ht="30">
      <c r="A2" s="208" t="s">
        <v>1</v>
      </c>
      <c r="B2" s="208"/>
      <c r="C2" s="208"/>
      <c r="D2" s="208"/>
      <c r="E2" s="208"/>
      <c r="F2" s="208"/>
    </row>
    <row r="3" spans="1:6" ht="30">
      <c r="A3" s="208" t="s">
        <v>2</v>
      </c>
      <c r="B3" s="208"/>
      <c r="C3" s="208"/>
      <c r="D3" s="208"/>
      <c r="E3" s="208"/>
      <c r="F3" s="208"/>
    </row>
    <row r="4" spans="1:6">
      <c r="A4" s="3" t="s">
        <v>3</v>
      </c>
      <c r="B4" s="3"/>
      <c r="C4" s="3"/>
      <c r="D4" s="3"/>
      <c r="E4" s="3"/>
      <c r="F4" s="3"/>
    </row>
    <row r="5" spans="1:6" ht="15.75" thickBot="1">
      <c r="A5" s="209" t="s">
        <v>4</v>
      </c>
      <c r="B5" s="209"/>
      <c r="C5" s="209"/>
      <c r="D5" s="209"/>
      <c r="E5" s="209"/>
      <c r="F5" s="209"/>
    </row>
    <row r="6" spans="1:6" ht="15.75" thickTop="1">
      <c r="A6" s="5"/>
      <c r="B6" s="5"/>
      <c r="C6" s="5"/>
      <c r="D6" s="5"/>
      <c r="E6" s="5"/>
      <c r="F6" s="5"/>
    </row>
    <row r="7" spans="1:6" ht="18.75">
      <c r="A7" s="6"/>
      <c r="B7" s="6"/>
      <c r="C7" s="6"/>
      <c r="D7" s="6"/>
      <c r="E7" s="7" t="s">
        <v>695</v>
      </c>
      <c r="F7" s="7"/>
    </row>
    <row r="8" spans="1:6" ht="18.75">
      <c r="A8" s="8" t="s">
        <v>6</v>
      </c>
      <c r="B8" s="8"/>
      <c r="C8" s="9" t="s">
        <v>696</v>
      </c>
      <c r="D8" s="10"/>
      <c r="E8" s="9"/>
      <c r="F8" s="10"/>
    </row>
    <row r="9" spans="1:6" ht="18.75">
      <c r="A9" s="8" t="s">
        <v>8</v>
      </c>
      <c r="B9" s="8"/>
      <c r="C9" s="9" t="s">
        <v>9</v>
      </c>
      <c r="D9" s="10"/>
      <c r="E9" s="9"/>
      <c r="F9" s="9"/>
    </row>
    <row r="10" spans="1:6" ht="18.75">
      <c r="A10" s="8" t="s">
        <v>10</v>
      </c>
      <c r="B10" s="8"/>
      <c r="C10" s="9" t="s">
        <v>11</v>
      </c>
      <c r="D10" s="10"/>
      <c r="E10" s="9"/>
      <c r="F10" s="9"/>
    </row>
    <row r="11" spans="1:6" ht="18.75">
      <c r="A11" s="9"/>
      <c r="B11" s="9"/>
      <c r="C11" s="9"/>
      <c r="D11" s="9"/>
      <c r="E11" s="9"/>
      <c r="F11" s="9"/>
    </row>
    <row r="12" spans="1:6" ht="18.75">
      <c r="A12" s="9"/>
      <c r="B12" s="9" t="s">
        <v>12</v>
      </c>
      <c r="C12" s="10"/>
      <c r="D12" s="10"/>
      <c r="E12" s="9"/>
      <c r="F12" s="9"/>
    </row>
    <row r="13" spans="1:6" ht="18.75">
      <c r="A13" s="9"/>
      <c r="B13" s="9" t="s">
        <v>13</v>
      </c>
      <c r="C13" s="10"/>
      <c r="D13" s="10"/>
      <c r="E13" s="9"/>
      <c r="F13" s="9"/>
    </row>
    <row r="14" spans="1:6" ht="18.75">
      <c r="A14" s="9"/>
      <c r="B14" s="9" t="s">
        <v>14</v>
      </c>
      <c r="C14" s="10"/>
      <c r="D14" s="10"/>
      <c r="E14" s="9"/>
      <c r="F14" s="9"/>
    </row>
    <row r="15" spans="1:6" ht="18.75">
      <c r="A15" s="9"/>
      <c r="B15" s="9" t="s">
        <v>15</v>
      </c>
      <c r="C15" s="10"/>
      <c r="D15" s="10"/>
      <c r="E15" s="9"/>
      <c r="F15" s="9"/>
    </row>
    <row r="16" spans="1:6" ht="18.75">
      <c r="A16" s="9"/>
      <c r="B16" s="9" t="s">
        <v>16</v>
      </c>
      <c r="C16" s="10"/>
      <c r="D16" s="10"/>
      <c r="E16" s="9"/>
      <c r="F16" s="9"/>
    </row>
    <row r="17" spans="1:6" ht="18.75">
      <c r="A17" s="9"/>
      <c r="B17" s="9" t="s">
        <v>17</v>
      </c>
      <c r="C17" s="10"/>
      <c r="D17" s="10"/>
      <c r="E17" s="9"/>
      <c r="F17" s="9"/>
    </row>
    <row r="18" spans="1:6" ht="18.75">
      <c r="A18" s="9"/>
      <c r="B18" s="9" t="s">
        <v>512</v>
      </c>
      <c r="C18" s="9"/>
      <c r="D18" s="10"/>
      <c r="E18" s="9"/>
      <c r="F18" s="10"/>
    </row>
    <row r="19" spans="1:6" ht="18.75">
      <c r="A19" s="9"/>
      <c r="B19" s="9" t="s">
        <v>18</v>
      </c>
      <c r="C19" s="9"/>
      <c r="D19" s="10"/>
      <c r="E19" s="9"/>
      <c r="F19" s="9"/>
    </row>
    <row r="20" spans="1:6" ht="18.75">
      <c r="A20" s="9"/>
      <c r="B20" s="10"/>
      <c r="C20" s="9"/>
      <c r="D20" s="9"/>
      <c r="E20" s="9"/>
      <c r="F20" s="9"/>
    </row>
    <row r="21" spans="1:6" ht="19.5">
      <c r="A21" s="9"/>
      <c r="C21" s="11" t="s">
        <v>19</v>
      </c>
      <c r="D21" s="12"/>
      <c r="E21" s="9"/>
      <c r="F21" s="10"/>
    </row>
    <row r="22" spans="1:6" ht="18.75">
      <c r="B22" s="13" t="s">
        <v>697</v>
      </c>
      <c r="C22" s="13"/>
      <c r="D22" s="13"/>
      <c r="E22" s="13"/>
      <c r="F22" s="10"/>
    </row>
    <row r="23" spans="1:6" ht="18.75">
      <c r="B23" s="13" t="s">
        <v>698</v>
      </c>
      <c r="C23" s="13"/>
      <c r="D23" s="13"/>
      <c r="E23" s="13"/>
      <c r="F23" s="10"/>
    </row>
    <row r="24" spans="1:6" ht="15.75">
      <c r="A24" s="14"/>
      <c r="B24" s="14"/>
      <c r="C24" s="14"/>
      <c r="D24" s="14"/>
      <c r="E24" s="15" t="s">
        <v>22</v>
      </c>
      <c r="F24" s="15"/>
    </row>
    <row r="25" spans="1:6" ht="15.75">
      <c r="A25" s="14"/>
      <c r="B25" s="306" t="s">
        <v>23</v>
      </c>
      <c r="C25" s="306" t="s">
        <v>24</v>
      </c>
      <c r="D25" s="307" t="s">
        <v>25</v>
      </c>
      <c r="E25" s="307" t="s">
        <v>26</v>
      </c>
      <c r="F25" s="307" t="s">
        <v>27</v>
      </c>
    </row>
    <row r="26" spans="1:6" ht="15.75">
      <c r="A26" s="14"/>
      <c r="B26" s="308"/>
      <c r="C26" s="308"/>
      <c r="D26" s="309"/>
      <c r="E26" s="309"/>
      <c r="F26" s="309"/>
    </row>
    <row r="27" spans="1:6" ht="15.75">
      <c r="A27" s="14"/>
      <c r="B27" s="20">
        <v>1</v>
      </c>
      <c r="C27" s="21" t="s">
        <v>28</v>
      </c>
      <c r="D27" s="22"/>
      <c r="E27" s="22"/>
      <c r="F27" s="23"/>
    </row>
    <row r="28" spans="1:6" ht="15.75">
      <c r="A28" s="14"/>
      <c r="B28" s="20"/>
      <c r="C28" s="21" t="s">
        <v>29</v>
      </c>
      <c r="D28" s="22"/>
      <c r="E28" s="22"/>
      <c r="F28" s="23"/>
    </row>
    <row r="29" spans="1:6" ht="15.75">
      <c r="A29" s="14"/>
      <c r="B29" s="24"/>
      <c r="C29" s="25" t="s">
        <v>699</v>
      </c>
      <c r="D29" s="276"/>
      <c r="E29" s="276"/>
      <c r="F29" s="27">
        <f>[9]NOPEMBER!F28</f>
        <v>1941804895</v>
      </c>
    </row>
    <row r="30" spans="1:6" ht="15.75">
      <c r="A30" s="14"/>
      <c r="B30" s="24"/>
      <c r="C30" s="25" t="s">
        <v>700</v>
      </c>
      <c r="D30" s="277">
        <v>187108448</v>
      </c>
      <c r="E30" s="278"/>
      <c r="F30" s="276"/>
    </row>
    <row r="31" spans="1:6" ht="15.75">
      <c r="A31" s="14"/>
      <c r="B31" s="24"/>
      <c r="C31" s="25" t="s">
        <v>701</v>
      </c>
      <c r="D31" s="276"/>
      <c r="E31" s="279">
        <f>392650000</f>
        <v>392650000</v>
      </c>
      <c r="F31" s="276"/>
    </row>
    <row r="32" spans="1:6" ht="15.75">
      <c r="A32" s="14"/>
      <c r="B32" s="24"/>
      <c r="C32" s="30" t="s">
        <v>33</v>
      </c>
      <c r="D32" s="276"/>
      <c r="E32" s="279"/>
      <c r="F32" s="27">
        <f>F29+D30-E31</f>
        <v>1736263343</v>
      </c>
    </row>
    <row r="33" spans="1:6" ht="15.75">
      <c r="A33" s="14"/>
      <c r="B33" s="20"/>
      <c r="C33" s="32" t="s">
        <v>34</v>
      </c>
      <c r="D33" s="280"/>
      <c r="E33" s="280"/>
      <c r="F33" s="281"/>
    </row>
    <row r="34" spans="1:6" ht="15.75">
      <c r="A34" s="14"/>
      <c r="B34" s="24"/>
      <c r="C34" s="35" t="s">
        <v>699</v>
      </c>
      <c r="D34" s="279"/>
      <c r="E34" s="282"/>
      <c r="F34" s="279">
        <f>[9]NOPEMBER!F33</f>
        <v>2675000</v>
      </c>
    </row>
    <row r="35" spans="1:6" ht="15.75">
      <c r="A35" s="14"/>
      <c r="B35" s="24"/>
      <c r="C35" s="25" t="s">
        <v>700</v>
      </c>
      <c r="D35" s="283">
        <f>0</f>
        <v>0</v>
      </c>
      <c r="E35" s="282"/>
      <c r="F35" s="283"/>
    </row>
    <row r="36" spans="1:6" ht="15.75">
      <c r="A36" s="14"/>
      <c r="B36" s="24"/>
      <c r="C36" s="25" t="s">
        <v>701</v>
      </c>
      <c r="D36" s="279"/>
      <c r="E36" s="282">
        <f>0</f>
        <v>0</v>
      </c>
      <c r="F36" s="283"/>
    </row>
    <row r="37" spans="1:6" ht="15.75">
      <c r="A37" s="14"/>
      <c r="B37" s="24"/>
      <c r="C37" s="30" t="s">
        <v>33</v>
      </c>
      <c r="D37" s="284"/>
      <c r="E37" s="284"/>
      <c r="F37" s="27">
        <f>F34+D35-E36</f>
        <v>2675000</v>
      </c>
    </row>
    <row r="38" spans="1:6" ht="15.75">
      <c r="A38" s="14"/>
      <c r="B38" s="24"/>
      <c r="C38" s="30" t="s">
        <v>35</v>
      </c>
      <c r="D38" s="27">
        <f>D30+D35</f>
        <v>187108448</v>
      </c>
      <c r="E38" s="51">
        <f>E31+E36</f>
        <v>392650000</v>
      </c>
      <c r="F38" s="285">
        <f>F32+F37</f>
        <v>1738938343</v>
      </c>
    </row>
    <row r="39" spans="1:6" ht="15.75">
      <c r="A39" s="14"/>
      <c r="B39" s="20">
        <v>2</v>
      </c>
      <c r="C39" s="32" t="s">
        <v>36</v>
      </c>
      <c r="D39" s="280"/>
      <c r="E39" s="286"/>
      <c r="F39" s="287"/>
    </row>
    <row r="40" spans="1:6" ht="15.75">
      <c r="A40" s="14"/>
      <c r="B40" s="20"/>
      <c r="C40" s="32" t="s">
        <v>29</v>
      </c>
      <c r="D40" s="280"/>
      <c r="E40" s="286"/>
      <c r="F40" s="287"/>
    </row>
    <row r="41" spans="1:6" ht="15.75">
      <c r="A41" s="43"/>
      <c r="B41" s="24"/>
      <c r="C41" s="35" t="s">
        <v>699</v>
      </c>
      <c r="D41" s="276"/>
      <c r="E41" s="288"/>
      <c r="F41" s="51">
        <f>[9]NOPEMBER!F40</f>
        <v>1099575393</v>
      </c>
    </row>
    <row r="42" spans="1:6" ht="15.75">
      <c r="A42" s="45"/>
      <c r="B42" s="24"/>
      <c r="C42" s="25" t="s">
        <v>700</v>
      </c>
      <c r="D42" s="289">
        <v>50990784</v>
      </c>
      <c r="E42" s="290"/>
      <c r="F42" s="288"/>
    </row>
    <row r="43" spans="1:6" ht="15.75">
      <c r="A43" s="14"/>
      <c r="B43" s="24"/>
      <c r="C43" s="25" t="s">
        <v>701</v>
      </c>
      <c r="D43" s="278"/>
      <c r="E43" s="291">
        <f>25250874</f>
        <v>25250874</v>
      </c>
      <c r="F43" s="288"/>
    </row>
    <row r="44" spans="1:6" ht="15.75">
      <c r="A44" s="14"/>
      <c r="B44" s="20"/>
      <c r="C44" s="30" t="s">
        <v>37</v>
      </c>
      <c r="D44" s="284"/>
      <c r="E44" s="292"/>
      <c r="F44" s="51">
        <f>F41+D42-E43</f>
        <v>1125315303</v>
      </c>
    </row>
    <row r="45" spans="1:6" ht="15.75">
      <c r="A45" s="14"/>
      <c r="B45" s="24"/>
      <c r="C45" s="52" t="s">
        <v>702</v>
      </c>
      <c r="D45" s="53">
        <f>D30+D42</f>
        <v>238099232</v>
      </c>
      <c r="E45" s="53">
        <f>E31+E43</f>
        <v>417900874</v>
      </c>
      <c r="F45" s="31">
        <f>F38+F44</f>
        <v>2864253646</v>
      </c>
    </row>
    <row r="46" spans="1:6" ht="15.75">
      <c r="B46" s="54" t="s">
        <v>340</v>
      </c>
      <c r="C46" s="54"/>
      <c r="D46" s="54"/>
      <c r="E46" s="54"/>
      <c r="F46" s="54"/>
    </row>
    <row r="47" spans="1:6" ht="18.75">
      <c r="A47" s="55"/>
      <c r="B47" s="201" t="s">
        <v>341</v>
      </c>
      <c r="C47" s="10"/>
      <c r="D47" s="57"/>
      <c r="E47" s="319"/>
      <c r="F47" s="320"/>
    </row>
    <row r="48" spans="1:6" ht="18.75">
      <c r="A48" s="55"/>
      <c r="B48" s="201" t="s">
        <v>342</v>
      </c>
      <c r="C48" s="10"/>
      <c r="D48" s="57"/>
      <c r="E48" s="10"/>
      <c r="F48" s="58"/>
    </row>
    <row r="49" spans="1:9" ht="18.75">
      <c r="A49" s="55"/>
      <c r="B49" s="201" t="s">
        <v>343</v>
      </c>
      <c r="C49" s="10"/>
      <c r="D49" s="57"/>
      <c r="E49" s="10"/>
      <c r="F49" s="58"/>
    </row>
    <row r="50" spans="1:9" ht="18.75">
      <c r="A50" s="14"/>
      <c r="B50" s="59"/>
      <c r="C50" s="60" t="s">
        <v>40</v>
      </c>
      <c r="D50" s="61"/>
      <c r="E50" s="60"/>
      <c r="F50" s="58"/>
    </row>
    <row r="51" spans="1:9" ht="19.5">
      <c r="A51" s="62"/>
      <c r="B51" s="59"/>
      <c r="C51" s="63" t="s">
        <v>41</v>
      </c>
      <c r="D51" s="64"/>
      <c r="E51" s="65"/>
      <c r="F51" s="66"/>
    </row>
    <row r="52" spans="1:9" ht="18.75">
      <c r="A52" s="62"/>
      <c r="B52" s="62"/>
      <c r="C52" s="67" t="s">
        <v>42</v>
      </c>
      <c r="D52" s="10"/>
      <c r="E52" s="68" t="s">
        <v>560</v>
      </c>
      <c r="F52" s="68"/>
    </row>
    <row r="53" spans="1:9" ht="18.75">
      <c r="A53" s="62"/>
      <c r="B53" s="62"/>
      <c r="C53" s="67"/>
      <c r="D53" s="10"/>
      <c r="E53" s="69"/>
      <c r="F53" s="69"/>
    </row>
    <row r="54" spans="1:9" ht="18.75">
      <c r="A54" s="62"/>
      <c r="B54" s="62"/>
      <c r="C54" s="70" t="s">
        <v>344</v>
      </c>
      <c r="D54" s="71"/>
      <c r="E54" s="72" t="s">
        <v>344</v>
      </c>
      <c r="F54" s="72"/>
    </row>
    <row r="55" spans="1:9" ht="18.75">
      <c r="A55" s="62"/>
      <c r="B55" s="62"/>
      <c r="C55" s="73" t="s">
        <v>45</v>
      </c>
      <c r="D55" s="74"/>
      <c r="E55" s="75" t="s">
        <v>596</v>
      </c>
      <c r="F55" s="75"/>
    </row>
    <row r="56" spans="1:9" ht="18.75">
      <c r="A56" s="59"/>
      <c r="B56" s="76" t="s">
        <v>47</v>
      </c>
      <c r="C56" s="9"/>
      <c r="D56" s="77"/>
      <c r="E56" s="62"/>
      <c r="F56" s="62"/>
    </row>
    <row r="57" spans="1:9" ht="18.75">
      <c r="A57" s="59"/>
      <c r="B57" s="9" t="s">
        <v>48</v>
      </c>
      <c r="C57" s="9"/>
      <c r="D57" s="78"/>
      <c r="E57" s="62"/>
      <c r="F57" s="62"/>
    </row>
    <row r="58" spans="1:9" ht="18.75">
      <c r="A58" s="59"/>
      <c r="B58" s="9" t="s">
        <v>49</v>
      </c>
      <c r="C58" s="9"/>
      <c r="D58" s="14"/>
      <c r="E58" s="62"/>
      <c r="F58" s="62"/>
    </row>
    <row r="59" spans="1:9" ht="18.75">
      <c r="A59" s="59"/>
      <c r="B59" s="9" t="s">
        <v>50</v>
      </c>
      <c r="C59" s="9"/>
      <c r="D59" s="14"/>
      <c r="E59" s="62"/>
      <c r="F59" s="62"/>
    </row>
    <row r="60" spans="1:9" ht="18.75">
      <c r="A60" s="59"/>
      <c r="B60" s="9" t="s">
        <v>51</v>
      </c>
      <c r="C60" s="9"/>
      <c r="D60" s="14"/>
      <c r="E60" s="62"/>
      <c r="F60" s="62"/>
    </row>
    <row r="62" spans="1:9" ht="15.75">
      <c r="A62" s="230" t="s">
        <v>52</v>
      </c>
    </row>
    <row r="63" spans="1:9" ht="22.5">
      <c r="A63" s="81" t="s">
        <v>53</v>
      </c>
      <c r="B63" s="81"/>
      <c r="C63" s="81"/>
      <c r="D63" s="81"/>
      <c r="E63" s="81"/>
      <c r="F63" s="81"/>
      <c r="G63" s="81"/>
      <c r="H63" s="81"/>
      <c r="I63" s="81"/>
    </row>
    <row r="64" spans="1:9" ht="22.5">
      <c r="A64" s="81" t="s">
        <v>54</v>
      </c>
      <c r="B64" s="81"/>
      <c r="C64" s="81"/>
      <c r="D64" s="81"/>
      <c r="E64" s="81"/>
      <c r="F64" s="81"/>
      <c r="G64" s="81"/>
      <c r="H64" s="81"/>
      <c r="I64" s="81"/>
    </row>
    <row r="65" spans="1:9" ht="20.25">
      <c r="A65" s="82" t="s">
        <v>703</v>
      </c>
      <c r="B65" s="82"/>
      <c r="C65" s="82"/>
      <c r="D65" s="82"/>
      <c r="E65" s="82"/>
      <c r="F65" s="82"/>
      <c r="G65" s="82"/>
      <c r="H65" s="82"/>
      <c r="I65" s="82"/>
    </row>
    <row r="66" spans="1:9" ht="15.75" thickBot="1">
      <c r="A66" s="83"/>
      <c r="B66" s="83"/>
      <c r="C66" s="83"/>
      <c r="D66" s="83"/>
      <c r="E66" s="83"/>
      <c r="F66" s="83"/>
      <c r="G66" s="83"/>
      <c r="H66" s="83"/>
      <c r="I66" s="83"/>
    </row>
    <row r="67" spans="1:9" ht="15.75" thickTop="1">
      <c r="A67" s="84" t="s">
        <v>23</v>
      </c>
      <c r="B67" s="85" t="s">
        <v>56</v>
      </c>
      <c r="C67" s="86"/>
      <c r="D67" s="211" t="s">
        <v>57</v>
      </c>
      <c r="E67" s="212"/>
      <c r="F67" s="89" t="s">
        <v>58</v>
      </c>
      <c r="G67" s="211" t="s">
        <v>57</v>
      </c>
      <c r="H67" s="212"/>
      <c r="I67" s="89" t="s">
        <v>58</v>
      </c>
    </row>
    <row r="68" spans="1:9">
      <c r="A68" s="90"/>
      <c r="B68" s="91"/>
      <c r="C68" s="92"/>
      <c r="D68" s="214" t="s">
        <v>647</v>
      </c>
      <c r="E68" s="215"/>
      <c r="F68" s="95"/>
      <c r="G68" s="214" t="s">
        <v>59</v>
      </c>
      <c r="H68" s="215"/>
      <c r="I68" s="95"/>
    </row>
    <row r="69" spans="1:9">
      <c r="A69" s="96"/>
      <c r="B69" s="97"/>
      <c r="C69" s="98"/>
      <c r="D69" s="217" t="s">
        <v>28</v>
      </c>
      <c r="E69" s="217" t="s">
        <v>61</v>
      </c>
      <c r="F69" s="100"/>
      <c r="G69" s="217" t="s">
        <v>28</v>
      </c>
      <c r="H69" s="217" t="s">
        <v>61</v>
      </c>
      <c r="I69" s="100"/>
    </row>
    <row r="70" spans="1:9">
      <c r="A70" s="232" t="s">
        <v>520</v>
      </c>
      <c r="B70" s="233"/>
      <c r="C70" s="233"/>
      <c r="D70" s="233"/>
      <c r="E70" s="233"/>
      <c r="F70" s="233"/>
      <c r="G70" s="233"/>
      <c r="H70" s="233"/>
      <c r="I70" s="234"/>
    </row>
    <row r="71" spans="1:9">
      <c r="A71" s="235">
        <v>1</v>
      </c>
      <c r="B71" s="235">
        <v>1</v>
      </c>
      <c r="C71" s="236" t="s">
        <v>521</v>
      </c>
      <c r="D71" s="106"/>
      <c r="E71" s="106">
        <f>3000000+5000000</f>
        <v>8000000</v>
      </c>
      <c r="F71" s="117">
        <f>SUM(D71:E71)</f>
        <v>8000000</v>
      </c>
      <c r="G71" s="106"/>
      <c r="H71" s="106">
        <v>2500000</v>
      </c>
      <c r="I71" s="117">
        <f>SUM(G71:H71)</f>
        <v>2500000</v>
      </c>
    </row>
    <row r="72" spans="1:9">
      <c r="A72" s="235">
        <v>2</v>
      </c>
      <c r="B72" s="235">
        <v>2</v>
      </c>
      <c r="C72" s="236" t="s">
        <v>608</v>
      </c>
      <c r="D72" s="106"/>
      <c r="E72" s="106"/>
      <c r="F72" s="117">
        <f>SUM(D72:E72)</f>
        <v>0</v>
      </c>
      <c r="G72" s="106"/>
      <c r="H72" s="106"/>
      <c r="I72" s="117">
        <f>SUM(G72:H72)</f>
        <v>0</v>
      </c>
    </row>
    <row r="73" spans="1:9">
      <c r="A73" s="108" t="s">
        <v>58</v>
      </c>
      <c r="B73" s="109"/>
      <c r="C73" s="109"/>
      <c r="D73" s="110">
        <f>SUM(D71:D72)</f>
        <v>0</v>
      </c>
      <c r="E73" s="111">
        <f>SUM(E71:E72)</f>
        <v>8000000</v>
      </c>
      <c r="F73" s="110">
        <f>SUM(D73:E73)</f>
        <v>8000000</v>
      </c>
      <c r="G73" s="110">
        <f>SUM(G71:G72)</f>
        <v>0</v>
      </c>
      <c r="H73" s="111">
        <f>SUM(H71:H72)</f>
        <v>2500000</v>
      </c>
      <c r="I73" s="110">
        <f>SUM(G73:H73)</f>
        <v>2500000</v>
      </c>
    </row>
    <row r="74" spans="1:9">
      <c r="A74" s="101" t="s">
        <v>62</v>
      </c>
      <c r="B74" s="102"/>
      <c r="C74" s="102"/>
      <c r="D74" s="102"/>
      <c r="E74" s="102"/>
      <c r="F74" s="102"/>
      <c r="G74" s="102"/>
      <c r="H74" s="102"/>
      <c r="I74" s="103"/>
    </row>
    <row r="75" spans="1:9">
      <c r="A75" s="104">
        <v>3</v>
      </c>
      <c r="B75" s="104">
        <v>1</v>
      </c>
      <c r="C75" s="105" t="s">
        <v>63</v>
      </c>
      <c r="D75" s="106">
        <v>1861100</v>
      </c>
      <c r="E75" s="106"/>
      <c r="F75" s="117">
        <f>SUM(D75:E75)</f>
        <v>1861100</v>
      </c>
      <c r="G75" s="106">
        <v>1861100</v>
      </c>
      <c r="H75" s="106"/>
      <c r="I75" s="117">
        <f>SUM(G75:H75)</f>
        <v>1861100</v>
      </c>
    </row>
    <row r="76" spans="1:9">
      <c r="A76" s="108" t="s">
        <v>58</v>
      </c>
      <c r="B76" s="109"/>
      <c r="C76" s="109"/>
      <c r="D76" s="110">
        <f>SUM(D74:D75)</f>
        <v>1861100</v>
      </c>
      <c r="E76" s="111">
        <f>SUM(E74:E75)</f>
        <v>0</v>
      </c>
      <c r="F76" s="110">
        <f>SUM(D76:E76)</f>
        <v>1861100</v>
      </c>
      <c r="G76" s="110">
        <f>SUM(G74:G75)</f>
        <v>1861100</v>
      </c>
      <c r="H76" s="111">
        <f>SUM(H74:H75)</f>
        <v>0</v>
      </c>
      <c r="I76" s="110">
        <f>SUM(G76:H76)</f>
        <v>1861100</v>
      </c>
    </row>
    <row r="77" spans="1:9">
      <c r="A77" s="108" t="s">
        <v>64</v>
      </c>
      <c r="B77" s="109"/>
      <c r="C77" s="109"/>
      <c r="D77" s="109"/>
      <c r="E77" s="109"/>
      <c r="F77" s="109"/>
      <c r="G77" s="109"/>
      <c r="H77" s="109"/>
      <c r="I77" s="113"/>
    </row>
    <row r="78" spans="1:9">
      <c r="A78" s="114">
        <v>4</v>
      </c>
      <c r="B78" s="115">
        <v>1</v>
      </c>
      <c r="C78" s="116" t="s">
        <v>565</v>
      </c>
      <c r="D78" s="106">
        <v>1874500</v>
      </c>
      <c r="E78" s="106">
        <v>494000</v>
      </c>
      <c r="F78" s="117">
        <f t="shared" ref="F78:F88" si="0">SUM(D78:E78)</f>
        <v>2368500</v>
      </c>
      <c r="G78" s="106">
        <v>1874500</v>
      </c>
      <c r="H78" s="106">
        <v>494000</v>
      </c>
      <c r="I78" s="117">
        <f t="shared" ref="I78:I88" si="1">SUM(G78:H78)</f>
        <v>2368500</v>
      </c>
    </row>
    <row r="79" spans="1:9">
      <c r="A79" s="114">
        <v>5</v>
      </c>
      <c r="B79" s="115">
        <v>2</v>
      </c>
      <c r="C79" s="116" t="s">
        <v>66</v>
      </c>
      <c r="D79" s="106">
        <v>959587</v>
      </c>
      <c r="E79" s="106">
        <v>286550</v>
      </c>
      <c r="F79" s="117">
        <f t="shared" si="0"/>
        <v>1246137</v>
      </c>
      <c r="G79" s="106">
        <v>959587</v>
      </c>
      <c r="H79" s="106">
        <v>286550</v>
      </c>
      <c r="I79" s="117">
        <f t="shared" si="1"/>
        <v>1246137</v>
      </c>
    </row>
    <row r="80" spans="1:9">
      <c r="A80" s="114">
        <v>6</v>
      </c>
      <c r="B80" s="115">
        <v>3</v>
      </c>
      <c r="C80" s="116" t="s">
        <v>67</v>
      </c>
      <c r="D80" s="106">
        <v>2542500</v>
      </c>
      <c r="E80" s="118">
        <v>269300</v>
      </c>
      <c r="F80" s="117">
        <f t="shared" si="0"/>
        <v>2811800</v>
      </c>
      <c r="G80" s="106">
        <v>2549700</v>
      </c>
      <c r="H80" s="118">
        <v>269300</v>
      </c>
      <c r="I80" s="117">
        <f t="shared" si="1"/>
        <v>2819000</v>
      </c>
    </row>
    <row r="81" spans="1:9">
      <c r="A81" s="114">
        <v>7</v>
      </c>
      <c r="B81" s="115">
        <v>4</v>
      </c>
      <c r="C81" s="116" t="s">
        <v>68</v>
      </c>
      <c r="D81" s="106">
        <v>1467063</v>
      </c>
      <c r="E81" s="106">
        <v>44000</v>
      </c>
      <c r="F81" s="117">
        <f t="shared" si="0"/>
        <v>1511063</v>
      </c>
      <c r="G81" s="106">
        <v>1467063</v>
      </c>
      <c r="H81" s="106">
        <v>44000</v>
      </c>
      <c r="I81" s="117">
        <f t="shared" si="1"/>
        <v>1511063</v>
      </c>
    </row>
    <row r="82" spans="1:9">
      <c r="A82" s="114">
        <v>8</v>
      </c>
      <c r="B82" s="115">
        <v>5</v>
      </c>
      <c r="C82" s="116" t="s">
        <v>69</v>
      </c>
      <c r="D82" s="106">
        <v>2119800</v>
      </c>
      <c r="E82" s="106">
        <v>147300</v>
      </c>
      <c r="F82" s="117">
        <f t="shared" si="0"/>
        <v>2267100</v>
      </c>
      <c r="G82" s="106">
        <v>2119800</v>
      </c>
      <c r="H82" s="106">
        <v>147300</v>
      </c>
      <c r="I82" s="117">
        <f t="shared" si="1"/>
        <v>2267100</v>
      </c>
    </row>
    <row r="83" spans="1:9">
      <c r="A83" s="114">
        <v>9</v>
      </c>
      <c r="B83" s="115">
        <v>6</v>
      </c>
      <c r="C83" s="116" t="s">
        <v>426</v>
      </c>
      <c r="D83" s="106">
        <v>3764550</v>
      </c>
      <c r="E83" s="106"/>
      <c r="F83" s="117">
        <f t="shared" si="0"/>
        <v>3764550</v>
      </c>
      <c r="G83" s="106">
        <v>3779900</v>
      </c>
      <c r="H83" s="106"/>
      <c r="I83" s="117">
        <f t="shared" si="1"/>
        <v>3779900</v>
      </c>
    </row>
    <row r="84" spans="1:9">
      <c r="A84" s="114">
        <v>10</v>
      </c>
      <c r="B84" s="115">
        <v>7</v>
      </c>
      <c r="C84" s="116" t="s">
        <v>71</v>
      </c>
      <c r="D84" s="106">
        <v>1507700</v>
      </c>
      <c r="E84" s="106">
        <v>1964500</v>
      </c>
      <c r="F84" s="117">
        <f t="shared" si="0"/>
        <v>3472200</v>
      </c>
      <c r="G84" s="106">
        <v>1507700</v>
      </c>
      <c r="H84" s="106">
        <v>1964500</v>
      </c>
      <c r="I84" s="117">
        <f t="shared" si="1"/>
        <v>3472200</v>
      </c>
    </row>
    <row r="85" spans="1:9">
      <c r="A85" s="114">
        <v>11</v>
      </c>
      <c r="B85" s="115">
        <v>8</v>
      </c>
      <c r="C85" s="116" t="s">
        <v>72</v>
      </c>
      <c r="D85" s="106"/>
      <c r="E85" s="106"/>
      <c r="F85" s="117">
        <f t="shared" si="0"/>
        <v>0</v>
      </c>
      <c r="G85" s="106">
        <f>610000+613000</f>
        <v>1223000</v>
      </c>
      <c r="H85" s="106">
        <f>845000+825000</f>
        <v>1670000</v>
      </c>
      <c r="I85" s="117">
        <f t="shared" si="1"/>
        <v>2893000</v>
      </c>
    </row>
    <row r="86" spans="1:9">
      <c r="A86" s="114">
        <v>12</v>
      </c>
      <c r="B86" s="115">
        <v>9</v>
      </c>
      <c r="C86" s="116" t="s">
        <v>73</v>
      </c>
      <c r="D86" s="106">
        <v>1528000</v>
      </c>
      <c r="E86" s="106">
        <v>52000</v>
      </c>
      <c r="F86" s="117">
        <f t="shared" si="0"/>
        <v>1580000</v>
      </c>
      <c r="G86" s="106">
        <v>1527000</v>
      </c>
      <c r="H86" s="106">
        <v>52000</v>
      </c>
      <c r="I86" s="117">
        <f t="shared" si="1"/>
        <v>1579000</v>
      </c>
    </row>
    <row r="87" spans="1:9">
      <c r="A87" s="114">
        <v>13</v>
      </c>
      <c r="B87" s="115">
        <v>10</v>
      </c>
      <c r="C87" s="119" t="s">
        <v>74</v>
      </c>
      <c r="D87" s="106"/>
      <c r="E87" s="106"/>
      <c r="F87" s="117">
        <f t="shared" si="0"/>
        <v>0</v>
      </c>
      <c r="G87" s="106">
        <f>324810+324810</f>
        <v>649620</v>
      </c>
      <c r="H87" s="106">
        <f>58000+58000</f>
        <v>116000</v>
      </c>
      <c r="I87" s="117">
        <f t="shared" si="1"/>
        <v>765620</v>
      </c>
    </row>
    <row r="88" spans="1:9">
      <c r="A88" s="108" t="s">
        <v>58</v>
      </c>
      <c r="B88" s="109"/>
      <c r="C88" s="109"/>
      <c r="D88" s="110">
        <f>SUM(D78:D87)</f>
        <v>15763700</v>
      </c>
      <c r="E88" s="110">
        <f>SUM(E78:E87)</f>
        <v>3257650</v>
      </c>
      <c r="F88" s="110">
        <f t="shared" si="0"/>
        <v>19021350</v>
      </c>
      <c r="G88" s="110">
        <f>SUM(G78:G87)</f>
        <v>17657870</v>
      </c>
      <c r="H88" s="110">
        <f>SUM(H78:H87)</f>
        <v>5043650</v>
      </c>
      <c r="I88" s="110">
        <f t="shared" si="1"/>
        <v>22701520</v>
      </c>
    </row>
    <row r="89" spans="1:9">
      <c r="A89" s="108" t="s">
        <v>75</v>
      </c>
      <c r="B89" s="109"/>
      <c r="C89" s="109"/>
      <c r="D89" s="109"/>
      <c r="E89" s="109"/>
      <c r="F89" s="109"/>
      <c r="G89" s="109"/>
      <c r="H89" s="109"/>
      <c r="I89" s="113"/>
    </row>
    <row r="90" spans="1:9">
      <c r="A90" s="120">
        <v>14</v>
      </c>
      <c r="B90" s="119">
        <v>1</v>
      </c>
      <c r="C90" s="116" t="s">
        <v>76</v>
      </c>
      <c r="D90" s="106">
        <v>2615858</v>
      </c>
      <c r="E90" s="219">
        <v>1834215</v>
      </c>
      <c r="F90" s="117">
        <f>SUM(D90:E90)</f>
        <v>4450073</v>
      </c>
      <c r="G90" s="106">
        <v>2621733</v>
      </c>
      <c r="H90" s="219">
        <v>1797215</v>
      </c>
      <c r="I90" s="117">
        <f>SUM(G90:H90)</f>
        <v>4418948</v>
      </c>
    </row>
    <row r="91" spans="1:9">
      <c r="A91" s="120">
        <v>15</v>
      </c>
      <c r="B91" s="119">
        <v>2</v>
      </c>
      <c r="C91" s="116" t="s">
        <v>77</v>
      </c>
      <c r="D91" s="106">
        <v>3692588</v>
      </c>
      <c r="E91" s="106">
        <v>5105000</v>
      </c>
      <c r="F91" s="117">
        <f t="shared" ref="F91:F103" si="2">SUM(D91:E91)</f>
        <v>8797588</v>
      </c>
      <c r="G91" s="106">
        <v>3695631</v>
      </c>
      <c r="H91" s="106">
        <v>5100000</v>
      </c>
      <c r="I91" s="117">
        <f t="shared" ref="I91:I103" si="3">SUM(G91:H91)</f>
        <v>8795631</v>
      </c>
    </row>
    <row r="92" spans="1:9">
      <c r="A92" s="120">
        <v>16</v>
      </c>
      <c r="B92" s="119">
        <v>3</v>
      </c>
      <c r="C92" s="116" t="s">
        <v>78</v>
      </c>
      <c r="D92" s="106">
        <v>2769828</v>
      </c>
      <c r="E92" s="106">
        <v>779000</v>
      </c>
      <c r="F92" s="117">
        <f t="shared" si="2"/>
        <v>3548828</v>
      </c>
      <c r="G92" s="106">
        <v>2769828</v>
      </c>
      <c r="H92" s="106">
        <v>779000</v>
      </c>
      <c r="I92" s="117">
        <f t="shared" si="3"/>
        <v>3548828</v>
      </c>
    </row>
    <row r="93" spans="1:9">
      <c r="A93" s="120">
        <v>17</v>
      </c>
      <c r="B93" s="119">
        <v>4</v>
      </c>
      <c r="C93" s="116" t="s">
        <v>79</v>
      </c>
      <c r="D93" s="106">
        <v>969587</v>
      </c>
      <c r="E93" s="106">
        <v>1410392</v>
      </c>
      <c r="F93" s="117">
        <f t="shared" si="2"/>
        <v>2379979</v>
      </c>
      <c r="G93" s="106">
        <v>969587</v>
      </c>
      <c r="H93" s="106">
        <v>1410392</v>
      </c>
      <c r="I93" s="117">
        <f t="shared" si="3"/>
        <v>2379979</v>
      </c>
    </row>
    <row r="94" spans="1:9">
      <c r="A94" s="120">
        <v>18</v>
      </c>
      <c r="B94" s="119">
        <v>5</v>
      </c>
      <c r="C94" s="116" t="s">
        <v>80</v>
      </c>
      <c r="D94" s="106">
        <v>2738700</v>
      </c>
      <c r="E94" s="106">
        <v>95000</v>
      </c>
      <c r="F94" s="117">
        <f t="shared" si="2"/>
        <v>2833700</v>
      </c>
      <c r="G94" s="106">
        <v>2440700</v>
      </c>
      <c r="H94" s="106">
        <v>95000</v>
      </c>
      <c r="I94" s="117">
        <f t="shared" si="3"/>
        <v>2535700</v>
      </c>
    </row>
    <row r="95" spans="1:9">
      <c r="A95" s="120">
        <v>19</v>
      </c>
      <c r="B95" s="119">
        <v>6</v>
      </c>
      <c r="C95" s="116" t="s">
        <v>81</v>
      </c>
      <c r="D95" s="106">
        <v>2082500</v>
      </c>
      <c r="E95" s="106">
        <v>127000</v>
      </c>
      <c r="F95" s="117">
        <f t="shared" si="2"/>
        <v>2209500</v>
      </c>
      <c r="G95" s="106">
        <v>2082500</v>
      </c>
      <c r="H95" s="106">
        <v>127000</v>
      </c>
      <c r="I95" s="117">
        <f t="shared" si="3"/>
        <v>2209500</v>
      </c>
    </row>
    <row r="96" spans="1:9">
      <c r="A96" s="120">
        <v>20</v>
      </c>
      <c r="B96" s="119">
        <v>7</v>
      </c>
      <c r="C96" s="116" t="s">
        <v>82</v>
      </c>
      <c r="D96" s="106">
        <v>4215200</v>
      </c>
      <c r="E96" s="106">
        <v>184600</v>
      </c>
      <c r="F96" s="117">
        <f t="shared" si="2"/>
        <v>4399800</v>
      </c>
      <c r="G96" s="106">
        <v>4211470</v>
      </c>
      <c r="H96" s="106">
        <v>184650</v>
      </c>
      <c r="I96" s="117">
        <f t="shared" si="3"/>
        <v>4396120</v>
      </c>
    </row>
    <row r="97" spans="1:9">
      <c r="A97" s="120">
        <v>21</v>
      </c>
      <c r="B97" s="119">
        <v>8</v>
      </c>
      <c r="C97" s="116" t="s">
        <v>83</v>
      </c>
      <c r="D97" s="106">
        <v>1068029</v>
      </c>
      <c r="E97" s="106">
        <v>864700</v>
      </c>
      <c r="F97" s="117">
        <f t="shared" si="2"/>
        <v>1932729</v>
      </c>
      <c r="G97" s="106">
        <v>1074224</v>
      </c>
      <c r="H97" s="106">
        <v>797450</v>
      </c>
      <c r="I97" s="117">
        <f t="shared" si="3"/>
        <v>1871674</v>
      </c>
    </row>
    <row r="98" spans="1:9">
      <c r="A98" s="120">
        <v>22</v>
      </c>
      <c r="B98" s="119">
        <v>9</v>
      </c>
      <c r="C98" s="116" t="s">
        <v>84</v>
      </c>
      <c r="D98" s="106">
        <v>854000</v>
      </c>
      <c r="E98" s="106">
        <v>152000</v>
      </c>
      <c r="F98" s="117">
        <f t="shared" si="2"/>
        <v>1006000</v>
      </c>
      <c r="G98" s="106">
        <f>858000*2</f>
        <v>1716000</v>
      </c>
      <c r="H98" s="106">
        <f>152000*2</f>
        <v>304000</v>
      </c>
      <c r="I98" s="117">
        <f t="shared" si="3"/>
        <v>2020000</v>
      </c>
    </row>
    <row r="99" spans="1:9">
      <c r="A99" s="120">
        <v>23</v>
      </c>
      <c r="B99" s="119">
        <v>10</v>
      </c>
      <c r="C99" s="116" t="s">
        <v>85</v>
      </c>
      <c r="D99" s="106">
        <v>3009477</v>
      </c>
      <c r="E99" s="106">
        <v>58000</v>
      </c>
      <c r="F99" s="117">
        <f t="shared" si="2"/>
        <v>3067477</v>
      </c>
      <c r="G99" s="106">
        <v>3005477</v>
      </c>
      <c r="H99" s="106">
        <v>58000</v>
      </c>
      <c r="I99" s="117">
        <f t="shared" si="3"/>
        <v>3063477</v>
      </c>
    </row>
    <row r="100" spans="1:9">
      <c r="A100" s="120">
        <v>24</v>
      </c>
      <c r="B100" s="119">
        <v>11</v>
      </c>
      <c r="C100" s="116" t="s">
        <v>427</v>
      </c>
      <c r="D100" s="106">
        <v>2815267</v>
      </c>
      <c r="E100" s="106">
        <v>1340000</v>
      </c>
      <c r="F100" s="117">
        <f t="shared" si="2"/>
        <v>4155267</v>
      </c>
      <c r="G100" s="106">
        <v>2815267</v>
      </c>
      <c r="H100" s="106">
        <v>1340000</v>
      </c>
      <c r="I100" s="117">
        <f t="shared" si="3"/>
        <v>4155267</v>
      </c>
    </row>
    <row r="101" spans="1:9">
      <c r="A101" s="120">
        <v>25</v>
      </c>
      <c r="B101" s="119">
        <v>12</v>
      </c>
      <c r="C101" s="116" t="s">
        <v>87</v>
      </c>
      <c r="D101" s="106">
        <v>1499800</v>
      </c>
      <c r="E101" s="106">
        <v>464192</v>
      </c>
      <c r="F101" s="117">
        <f t="shared" si="2"/>
        <v>1963992</v>
      </c>
      <c r="G101" s="106">
        <v>1499800</v>
      </c>
      <c r="H101" s="106">
        <v>464192</v>
      </c>
      <c r="I101" s="117">
        <f t="shared" si="3"/>
        <v>1963992</v>
      </c>
    </row>
    <row r="102" spans="1:9">
      <c r="A102" s="120">
        <v>26</v>
      </c>
      <c r="B102" s="119">
        <v>13</v>
      </c>
      <c r="C102" s="116" t="s">
        <v>88</v>
      </c>
      <c r="D102" s="106">
        <v>1882600</v>
      </c>
      <c r="E102" s="219">
        <v>615000</v>
      </c>
      <c r="F102" s="117">
        <f t="shared" si="2"/>
        <v>2497600</v>
      </c>
      <c r="G102" s="106">
        <v>1761600</v>
      </c>
      <c r="H102" s="219">
        <v>625000</v>
      </c>
      <c r="I102" s="117">
        <f t="shared" si="3"/>
        <v>2386600</v>
      </c>
    </row>
    <row r="103" spans="1:9">
      <c r="A103" s="120">
        <v>27</v>
      </c>
      <c r="B103" s="119">
        <v>14</v>
      </c>
      <c r="C103" s="116" t="s">
        <v>89</v>
      </c>
      <c r="D103" s="106"/>
      <c r="E103" s="106"/>
      <c r="F103" s="117">
        <f t="shared" si="2"/>
        <v>0</v>
      </c>
      <c r="G103" s="106">
        <v>364000</v>
      </c>
      <c r="H103" s="106">
        <v>528000</v>
      </c>
      <c r="I103" s="117">
        <f t="shared" si="3"/>
        <v>892000</v>
      </c>
    </row>
    <row r="104" spans="1:9">
      <c r="A104" s="108" t="s">
        <v>58</v>
      </c>
      <c r="B104" s="109"/>
      <c r="C104" s="109"/>
      <c r="D104" s="110">
        <f>SUM(D90:D103)</f>
        <v>30213434</v>
      </c>
      <c r="E104" s="110">
        <f>SUM(E90:E103)</f>
        <v>13029099</v>
      </c>
      <c r="F104" s="110">
        <f>SUM(D104:E104)</f>
        <v>43242533</v>
      </c>
      <c r="G104" s="110">
        <f>SUM(G90:G103)</f>
        <v>31027817</v>
      </c>
      <c r="H104" s="110">
        <f>SUM(H90:H103)</f>
        <v>13609899</v>
      </c>
      <c r="I104" s="110">
        <f>SUM(G104:H104)</f>
        <v>44637716</v>
      </c>
    </row>
    <row r="105" spans="1:9">
      <c r="A105" s="108" t="s">
        <v>90</v>
      </c>
      <c r="B105" s="109"/>
      <c r="C105" s="109"/>
      <c r="D105" s="109"/>
      <c r="E105" s="109"/>
      <c r="F105" s="109"/>
      <c r="G105" s="109"/>
      <c r="H105" s="109"/>
      <c r="I105" s="113"/>
    </row>
    <row r="106" spans="1:9">
      <c r="A106" s="119">
        <v>28</v>
      </c>
      <c r="B106" s="119">
        <v>1</v>
      </c>
      <c r="C106" s="116" t="s">
        <v>91</v>
      </c>
      <c r="D106" s="106"/>
      <c r="E106" s="106">
        <v>305000</v>
      </c>
      <c r="F106" s="117">
        <f>SUM(D106:E106)</f>
        <v>305000</v>
      </c>
      <c r="G106" s="106">
        <v>350000</v>
      </c>
      <c r="H106" s="106">
        <v>305000</v>
      </c>
      <c r="I106" s="117">
        <f>SUM(G106:H106)</f>
        <v>655000</v>
      </c>
    </row>
    <row r="107" spans="1:9">
      <c r="A107" s="119">
        <v>29</v>
      </c>
      <c r="B107" s="119">
        <v>2</v>
      </c>
      <c r="C107" s="121" t="s">
        <v>92</v>
      </c>
      <c r="D107" s="106"/>
      <c r="E107" s="106"/>
      <c r="F107" s="117">
        <f t="shared" ref="F107:F114" si="4">SUM(D107:E107)</f>
        <v>0</v>
      </c>
      <c r="G107" s="106"/>
      <c r="H107" s="106"/>
      <c r="I107" s="117">
        <f t="shared" ref="I107:I114" si="5">SUM(G107:H107)</f>
        <v>0</v>
      </c>
    </row>
    <row r="108" spans="1:9">
      <c r="A108" s="119">
        <v>30</v>
      </c>
      <c r="B108" s="119">
        <v>3</v>
      </c>
      <c r="C108" s="121" t="s">
        <v>93</v>
      </c>
      <c r="D108" s="106"/>
      <c r="E108" s="106"/>
      <c r="F108" s="117">
        <f t="shared" si="4"/>
        <v>0</v>
      </c>
      <c r="G108" s="106"/>
      <c r="H108" s="106"/>
      <c r="I108" s="117">
        <f t="shared" si="5"/>
        <v>0</v>
      </c>
    </row>
    <row r="109" spans="1:9">
      <c r="A109" s="119">
        <v>31</v>
      </c>
      <c r="B109" s="119">
        <v>4</v>
      </c>
      <c r="C109" s="121" t="s">
        <v>94</v>
      </c>
      <c r="D109" s="106">
        <f>256000+350000</f>
        <v>606000</v>
      </c>
      <c r="E109" s="106">
        <v>185000</v>
      </c>
      <c r="F109" s="117">
        <f t="shared" si="4"/>
        <v>791000</v>
      </c>
      <c r="G109" s="106">
        <v>256000</v>
      </c>
      <c r="H109" s="106">
        <v>185000</v>
      </c>
      <c r="I109" s="117">
        <f t="shared" si="5"/>
        <v>441000</v>
      </c>
    </row>
    <row r="110" spans="1:9">
      <c r="A110" s="119">
        <v>32</v>
      </c>
      <c r="B110" s="119">
        <v>5</v>
      </c>
      <c r="C110" s="121" t="s">
        <v>95</v>
      </c>
      <c r="D110" s="106"/>
      <c r="E110" s="106">
        <v>260000</v>
      </c>
      <c r="F110" s="117">
        <f t="shared" si="4"/>
        <v>260000</v>
      </c>
      <c r="G110" s="106">
        <v>148000</v>
      </c>
      <c r="H110" s="106">
        <v>260000</v>
      </c>
      <c r="I110" s="117">
        <f t="shared" si="5"/>
        <v>408000</v>
      </c>
    </row>
    <row r="111" spans="1:9">
      <c r="A111" s="119">
        <v>33</v>
      </c>
      <c r="B111" s="119">
        <v>6</v>
      </c>
      <c r="C111" s="121" t="s">
        <v>96</v>
      </c>
      <c r="D111" s="106">
        <v>441000</v>
      </c>
      <c r="E111" s="106">
        <v>42000</v>
      </c>
      <c r="F111" s="117">
        <f t="shared" si="4"/>
        <v>483000</v>
      </c>
      <c r="G111" s="106">
        <v>441000</v>
      </c>
      <c r="H111" s="106">
        <v>42000</v>
      </c>
      <c r="I111" s="117">
        <f t="shared" si="5"/>
        <v>483000</v>
      </c>
    </row>
    <row r="112" spans="1:9">
      <c r="A112" s="119">
        <v>34</v>
      </c>
      <c r="B112" s="119">
        <v>7</v>
      </c>
      <c r="C112" s="121" t="s">
        <v>97</v>
      </c>
      <c r="D112" s="106">
        <v>640600</v>
      </c>
      <c r="E112" s="106">
        <v>308500</v>
      </c>
      <c r="F112" s="117">
        <f t="shared" si="4"/>
        <v>949100</v>
      </c>
      <c r="G112" s="106">
        <v>640600</v>
      </c>
      <c r="H112" s="106">
        <v>313500</v>
      </c>
      <c r="I112" s="117">
        <f t="shared" si="5"/>
        <v>954100</v>
      </c>
    </row>
    <row r="113" spans="1:9">
      <c r="A113" s="119">
        <v>35</v>
      </c>
      <c r="B113" s="119">
        <v>8</v>
      </c>
      <c r="C113" s="121" t="s">
        <v>98</v>
      </c>
      <c r="D113" s="106">
        <v>460400</v>
      </c>
      <c r="E113" s="106">
        <v>90000</v>
      </c>
      <c r="F113" s="117">
        <f t="shared" si="4"/>
        <v>550400</v>
      </c>
      <c r="G113" s="106">
        <v>463200</v>
      </c>
      <c r="H113" s="106">
        <v>90000</v>
      </c>
      <c r="I113" s="117">
        <f t="shared" si="5"/>
        <v>553200</v>
      </c>
    </row>
    <row r="114" spans="1:9">
      <c r="A114" s="119">
        <v>36</v>
      </c>
      <c r="B114" s="119">
        <v>9</v>
      </c>
      <c r="C114" s="125" t="s">
        <v>99</v>
      </c>
      <c r="D114" s="106">
        <v>887350</v>
      </c>
      <c r="E114" s="106">
        <v>303000</v>
      </c>
      <c r="F114" s="117">
        <f t="shared" si="4"/>
        <v>1190350</v>
      </c>
      <c r="G114" s="106">
        <v>887350</v>
      </c>
      <c r="H114" s="106">
        <v>303000</v>
      </c>
      <c r="I114" s="117">
        <f t="shared" si="5"/>
        <v>1190350</v>
      </c>
    </row>
    <row r="115" spans="1:9">
      <c r="A115" s="108" t="s">
        <v>101</v>
      </c>
      <c r="B115" s="109"/>
      <c r="C115" s="123"/>
      <c r="D115" s="110">
        <f>SUM(D106:D114)</f>
        <v>3035350</v>
      </c>
      <c r="E115" s="110">
        <f>SUM(E106:E114)</f>
        <v>1493500</v>
      </c>
      <c r="F115" s="110">
        <f>SUM(D115:E115)</f>
        <v>4528850</v>
      </c>
      <c r="G115" s="110">
        <f>SUM(G106:G114)</f>
        <v>3186150</v>
      </c>
      <c r="H115" s="110">
        <f>SUM(H106:H114)</f>
        <v>1498500</v>
      </c>
      <c r="I115" s="110">
        <f>SUM(G115:H115)</f>
        <v>4684650</v>
      </c>
    </row>
    <row r="116" spans="1:9">
      <c r="A116" s="108" t="s">
        <v>102</v>
      </c>
      <c r="B116" s="109"/>
      <c r="C116" s="109"/>
      <c r="D116" s="109"/>
      <c r="E116" s="109"/>
      <c r="F116" s="109"/>
      <c r="G116" s="109"/>
      <c r="H116" s="109"/>
      <c r="I116" s="113"/>
    </row>
    <row r="117" spans="1:9">
      <c r="A117" s="119">
        <v>37</v>
      </c>
      <c r="B117" s="119">
        <v>1</v>
      </c>
      <c r="C117" s="116" t="s">
        <v>103</v>
      </c>
      <c r="D117" s="106">
        <v>100000</v>
      </c>
      <c r="E117" s="106">
        <v>55000</v>
      </c>
      <c r="F117" s="117">
        <f>SUM(D117:E117)</f>
        <v>155000</v>
      </c>
      <c r="G117" s="106">
        <v>100000</v>
      </c>
      <c r="H117" s="106">
        <v>60000</v>
      </c>
      <c r="I117" s="117">
        <f>SUM(G117:H117)</f>
        <v>160000</v>
      </c>
    </row>
    <row r="118" spans="1:9">
      <c r="A118" s="119">
        <v>38</v>
      </c>
      <c r="B118" s="119">
        <v>2</v>
      </c>
      <c r="C118" s="116" t="s">
        <v>104</v>
      </c>
      <c r="D118" s="106"/>
      <c r="E118" s="106"/>
      <c r="F118" s="117">
        <f>SUM(D118:E118)</f>
        <v>0</v>
      </c>
      <c r="G118" s="106"/>
      <c r="H118" s="106"/>
      <c r="I118" s="117">
        <f>SUM(G118:H118)</f>
        <v>0</v>
      </c>
    </row>
    <row r="119" spans="1:9">
      <c r="A119" s="119">
        <v>39</v>
      </c>
      <c r="B119" s="119">
        <v>3</v>
      </c>
      <c r="C119" s="116" t="s">
        <v>105</v>
      </c>
      <c r="D119" s="106">
        <v>1378000</v>
      </c>
      <c r="E119" s="106"/>
      <c r="F119" s="117">
        <f>SUM(D119:E119)</f>
        <v>1378000</v>
      </c>
      <c r="G119" s="106">
        <v>1378000</v>
      </c>
      <c r="H119" s="106"/>
      <c r="I119" s="117">
        <f>SUM(G119:H119)</f>
        <v>1378000</v>
      </c>
    </row>
    <row r="120" spans="1:9">
      <c r="A120" s="119">
        <v>40</v>
      </c>
      <c r="B120" s="119">
        <v>5</v>
      </c>
      <c r="C120" s="116" t="s">
        <v>106</v>
      </c>
      <c r="D120" s="106">
        <v>382700</v>
      </c>
      <c r="E120" s="106">
        <v>100000</v>
      </c>
      <c r="F120" s="117">
        <f>SUM(D120:E120)</f>
        <v>482700</v>
      </c>
      <c r="G120" s="106">
        <v>382700</v>
      </c>
      <c r="H120" s="106">
        <v>100000</v>
      </c>
      <c r="I120" s="117">
        <f>SUM(G120:H120)</f>
        <v>482700</v>
      </c>
    </row>
    <row r="121" spans="1:9">
      <c r="A121" s="108" t="s">
        <v>58</v>
      </c>
      <c r="B121" s="109"/>
      <c r="C121" s="109"/>
      <c r="D121" s="110">
        <f>SUM(D117:D120)</f>
        <v>1860700</v>
      </c>
      <c r="E121" s="110">
        <f>SUM(E117:E120)</f>
        <v>155000</v>
      </c>
      <c r="F121" s="110">
        <f>SUM(D121:E121)</f>
        <v>2015700</v>
      </c>
      <c r="G121" s="110">
        <f>SUM(G117:G120)</f>
        <v>1860700</v>
      </c>
      <c r="H121" s="110">
        <f>SUM(H117:H120)</f>
        <v>160000</v>
      </c>
      <c r="I121" s="110">
        <f>SUM(G121:H121)</f>
        <v>2020700</v>
      </c>
    </row>
    <row r="122" spans="1:9">
      <c r="A122" s="108" t="s">
        <v>107</v>
      </c>
      <c r="B122" s="109"/>
      <c r="C122" s="109"/>
      <c r="D122" s="109"/>
      <c r="E122" s="109"/>
      <c r="F122" s="109"/>
      <c r="G122" s="109"/>
      <c r="H122" s="109"/>
      <c r="I122" s="113"/>
    </row>
    <row r="123" spans="1:9">
      <c r="A123" s="119">
        <v>41</v>
      </c>
      <c r="B123" s="119">
        <v>1</v>
      </c>
      <c r="C123" s="119" t="s">
        <v>108</v>
      </c>
      <c r="D123" s="106">
        <v>500000</v>
      </c>
      <c r="E123" s="106">
        <v>100000</v>
      </c>
      <c r="F123" s="117">
        <f>SUM(D123:E123)</f>
        <v>600000</v>
      </c>
      <c r="G123" s="106">
        <v>500000</v>
      </c>
      <c r="H123" s="106">
        <v>80000</v>
      </c>
      <c r="I123" s="117">
        <f>SUM(G123:H123)</f>
        <v>580000</v>
      </c>
    </row>
    <row r="124" spans="1:9">
      <c r="A124" s="108" t="s">
        <v>101</v>
      </c>
      <c r="B124" s="109"/>
      <c r="C124" s="109"/>
      <c r="D124" s="110">
        <f>D123</f>
        <v>500000</v>
      </c>
      <c r="E124" s="110">
        <f>E123</f>
        <v>100000</v>
      </c>
      <c r="F124" s="110">
        <f>SUM(D124:E124)</f>
        <v>600000</v>
      </c>
      <c r="G124" s="110">
        <f>G123</f>
        <v>500000</v>
      </c>
      <c r="H124" s="110">
        <f>H123</f>
        <v>80000</v>
      </c>
      <c r="I124" s="110">
        <f>SUM(G124:H124)</f>
        <v>580000</v>
      </c>
    </row>
    <row r="125" spans="1:9">
      <c r="A125" s="108" t="s">
        <v>109</v>
      </c>
      <c r="B125" s="109"/>
      <c r="C125" s="109"/>
      <c r="D125" s="109"/>
      <c r="E125" s="109"/>
      <c r="F125" s="109"/>
      <c r="G125" s="109"/>
      <c r="H125" s="109"/>
      <c r="I125" s="113"/>
    </row>
    <row r="126" spans="1:9">
      <c r="A126" s="119">
        <v>42</v>
      </c>
      <c r="B126" s="119">
        <v>1</v>
      </c>
      <c r="C126" s="121" t="s">
        <v>110</v>
      </c>
      <c r="D126" s="106">
        <v>1730000</v>
      </c>
      <c r="E126" s="106">
        <v>510650</v>
      </c>
      <c r="F126" s="117">
        <f>SUM(D126:E126)</f>
        <v>2240650</v>
      </c>
      <c r="G126" s="106">
        <v>1730000</v>
      </c>
      <c r="H126" s="106">
        <v>529800</v>
      </c>
      <c r="I126" s="117">
        <f>SUM(G126:H126)</f>
        <v>2259800</v>
      </c>
    </row>
    <row r="127" spans="1:9">
      <c r="A127" s="108" t="s">
        <v>101</v>
      </c>
      <c r="B127" s="109"/>
      <c r="C127" s="109"/>
      <c r="D127" s="110">
        <f>D126</f>
        <v>1730000</v>
      </c>
      <c r="E127" s="110">
        <f>E126</f>
        <v>510650</v>
      </c>
      <c r="F127" s="110">
        <f>SUM(D127:E127)</f>
        <v>2240650</v>
      </c>
      <c r="G127" s="110">
        <f>G126</f>
        <v>1730000</v>
      </c>
      <c r="H127" s="110">
        <f>H126</f>
        <v>529800</v>
      </c>
      <c r="I127" s="110">
        <f>SUM(G127:H127)</f>
        <v>2259800</v>
      </c>
    </row>
    <row r="128" spans="1:9">
      <c r="A128" s="108" t="s">
        <v>111</v>
      </c>
      <c r="B128" s="109"/>
      <c r="C128" s="109"/>
      <c r="D128" s="109"/>
      <c r="E128" s="109"/>
      <c r="F128" s="109"/>
      <c r="G128" s="109"/>
      <c r="H128" s="109"/>
      <c r="I128" s="113"/>
    </row>
    <row r="129" spans="1:9">
      <c r="A129" s="119">
        <v>43</v>
      </c>
      <c r="B129" s="119">
        <v>1</v>
      </c>
      <c r="C129" s="121" t="s">
        <v>112</v>
      </c>
      <c r="D129" s="106">
        <v>1543500</v>
      </c>
      <c r="E129" s="106">
        <v>649500</v>
      </c>
      <c r="F129" s="117">
        <f>SUM(D129:E129)</f>
        <v>2193000</v>
      </c>
      <c r="G129" s="106">
        <v>1474500</v>
      </c>
      <c r="H129" s="106">
        <v>649500</v>
      </c>
      <c r="I129" s="117">
        <f>SUM(G129:H129)</f>
        <v>2124000</v>
      </c>
    </row>
    <row r="130" spans="1:9">
      <c r="A130" s="119">
        <v>44</v>
      </c>
      <c r="B130" s="119">
        <v>2</v>
      </c>
      <c r="C130" s="121" t="s">
        <v>113</v>
      </c>
      <c r="D130" s="106"/>
      <c r="E130" s="106">
        <v>330000</v>
      </c>
      <c r="F130" s="117">
        <f t="shared" ref="F130:F148" si="6">SUM(D130:E130)</f>
        <v>330000</v>
      </c>
      <c r="G130" s="106">
        <v>1643000</v>
      </c>
      <c r="H130" s="106"/>
      <c r="I130" s="117">
        <f t="shared" ref="I130:I138" si="7">SUM(G130:H130)</f>
        <v>1643000</v>
      </c>
    </row>
    <row r="131" spans="1:9">
      <c r="A131" s="119">
        <v>45</v>
      </c>
      <c r="B131" s="119">
        <v>3</v>
      </c>
      <c r="C131" s="125" t="s">
        <v>114</v>
      </c>
      <c r="D131" s="106">
        <v>1642000</v>
      </c>
      <c r="E131" s="106"/>
      <c r="F131" s="117">
        <f t="shared" si="6"/>
        <v>1642000</v>
      </c>
      <c r="G131" s="106"/>
      <c r="H131" s="106"/>
      <c r="I131" s="117">
        <f t="shared" si="7"/>
        <v>0</v>
      </c>
    </row>
    <row r="132" spans="1:9">
      <c r="A132" s="119">
        <v>46</v>
      </c>
      <c r="B132" s="124">
        <v>4</v>
      </c>
      <c r="C132" s="125" t="s">
        <v>115</v>
      </c>
      <c r="D132" s="106"/>
      <c r="E132" s="106"/>
      <c r="F132" s="117">
        <f t="shared" si="6"/>
        <v>0</v>
      </c>
      <c r="G132" s="106"/>
      <c r="H132" s="106">
        <f>224000+224000</f>
        <v>448000</v>
      </c>
      <c r="I132" s="117">
        <f t="shared" si="7"/>
        <v>448000</v>
      </c>
    </row>
    <row r="133" spans="1:9">
      <c r="A133" s="119">
        <v>47</v>
      </c>
      <c r="B133" s="119">
        <v>5</v>
      </c>
      <c r="C133" s="125" t="s">
        <v>116</v>
      </c>
      <c r="D133" s="106">
        <v>505700</v>
      </c>
      <c r="E133" s="106">
        <v>136000</v>
      </c>
      <c r="F133" s="117">
        <f t="shared" si="6"/>
        <v>641700</v>
      </c>
      <c r="G133" s="106">
        <v>505700</v>
      </c>
      <c r="H133" s="106">
        <v>136000</v>
      </c>
      <c r="I133" s="117">
        <f t="shared" si="7"/>
        <v>641700</v>
      </c>
    </row>
    <row r="134" spans="1:9">
      <c r="A134" s="119">
        <v>48</v>
      </c>
      <c r="B134" s="119">
        <v>6</v>
      </c>
      <c r="C134" s="125" t="s">
        <v>117</v>
      </c>
      <c r="D134" s="106"/>
      <c r="E134" s="106"/>
      <c r="F134" s="117">
        <f t="shared" si="6"/>
        <v>0</v>
      </c>
      <c r="G134" s="106">
        <v>1191300</v>
      </c>
      <c r="H134" s="106">
        <v>280000</v>
      </c>
      <c r="I134" s="117">
        <f t="shared" si="7"/>
        <v>1471300</v>
      </c>
    </row>
    <row r="135" spans="1:9">
      <c r="A135" s="119">
        <v>49</v>
      </c>
      <c r="B135" s="119">
        <v>7</v>
      </c>
      <c r="C135" s="125" t="s">
        <v>118</v>
      </c>
      <c r="D135" s="106">
        <v>727000</v>
      </c>
      <c r="E135" s="106">
        <v>150000</v>
      </c>
      <c r="F135" s="117">
        <f t="shared" si="6"/>
        <v>877000</v>
      </c>
      <c r="G135" s="106">
        <v>727000</v>
      </c>
      <c r="H135" s="106">
        <f>450000+150000</f>
        <v>600000</v>
      </c>
      <c r="I135" s="117">
        <f t="shared" si="7"/>
        <v>1327000</v>
      </c>
    </row>
    <row r="136" spans="1:9">
      <c r="A136" s="119">
        <v>50</v>
      </c>
      <c r="B136" s="119">
        <v>8</v>
      </c>
      <c r="C136" s="121" t="s">
        <v>119</v>
      </c>
      <c r="D136" s="106"/>
      <c r="E136" s="106">
        <v>100000</v>
      </c>
      <c r="F136" s="117">
        <f t="shared" si="6"/>
        <v>100000</v>
      </c>
      <c r="G136" s="106">
        <v>615000</v>
      </c>
      <c r="H136" s="106">
        <v>100000</v>
      </c>
      <c r="I136" s="117">
        <f t="shared" si="7"/>
        <v>715000</v>
      </c>
    </row>
    <row r="137" spans="1:9">
      <c r="A137" s="119">
        <v>51</v>
      </c>
      <c r="B137" s="119">
        <v>9</v>
      </c>
      <c r="C137" s="121" t="s">
        <v>120</v>
      </c>
      <c r="D137" s="106">
        <v>554000</v>
      </c>
      <c r="E137" s="106">
        <v>220000</v>
      </c>
      <c r="F137" s="117">
        <f t="shared" si="6"/>
        <v>774000</v>
      </c>
      <c r="G137" s="106">
        <v>554000</v>
      </c>
      <c r="H137" s="106">
        <v>220000</v>
      </c>
      <c r="I137" s="117">
        <f t="shared" si="7"/>
        <v>774000</v>
      </c>
    </row>
    <row r="138" spans="1:9">
      <c r="A138" s="119">
        <v>52</v>
      </c>
      <c r="B138" s="119">
        <v>10</v>
      </c>
      <c r="C138" s="121" t="s">
        <v>121</v>
      </c>
      <c r="D138" s="106"/>
      <c r="E138" s="106">
        <v>578335</v>
      </c>
      <c r="F138" s="117">
        <f t="shared" si="6"/>
        <v>578335</v>
      </c>
      <c r="G138" s="106"/>
      <c r="H138" s="106">
        <v>578335</v>
      </c>
      <c r="I138" s="117">
        <f t="shared" si="7"/>
        <v>578335</v>
      </c>
    </row>
    <row r="139" spans="1:9">
      <c r="A139" s="119">
        <v>53</v>
      </c>
      <c r="B139" s="119">
        <v>11</v>
      </c>
      <c r="C139" s="121" t="s">
        <v>122</v>
      </c>
      <c r="D139" s="106">
        <v>1339000</v>
      </c>
      <c r="F139" s="117">
        <f>SUM(D139:E139)</f>
        <v>1339000</v>
      </c>
      <c r="G139" s="106">
        <v>1340000</v>
      </c>
      <c r="I139" s="117">
        <f>SUM(G139:H139)</f>
        <v>1340000</v>
      </c>
    </row>
    <row r="140" spans="1:9">
      <c r="A140" s="119">
        <v>54</v>
      </c>
      <c r="B140" s="119">
        <v>12</v>
      </c>
      <c r="C140" s="121" t="s">
        <v>123</v>
      </c>
      <c r="D140" s="106">
        <v>1584300</v>
      </c>
      <c r="E140" s="106"/>
      <c r="F140" s="117">
        <f t="shared" si="6"/>
        <v>1584300</v>
      </c>
      <c r="G140" s="106">
        <v>1584300</v>
      </c>
      <c r="H140" s="106"/>
      <c r="I140" s="117">
        <f>SUM(G140:H140)</f>
        <v>1584300</v>
      </c>
    </row>
    <row r="141" spans="1:9">
      <c r="A141" s="119">
        <v>55</v>
      </c>
      <c r="B141" s="119">
        <v>13</v>
      </c>
      <c r="C141" s="121" t="s">
        <v>124</v>
      </c>
      <c r="D141" s="106"/>
      <c r="E141" s="106"/>
      <c r="F141" s="117">
        <f t="shared" si="6"/>
        <v>0</v>
      </c>
      <c r="G141" s="106"/>
      <c r="H141" s="106"/>
      <c r="I141" s="117">
        <f>SUM(G141:H141)</f>
        <v>0</v>
      </c>
    </row>
    <row r="142" spans="1:9">
      <c r="A142" s="119">
        <v>56</v>
      </c>
      <c r="B142" s="119">
        <v>14</v>
      </c>
      <c r="C142" s="121" t="s">
        <v>125</v>
      </c>
      <c r="D142" s="106">
        <v>229000</v>
      </c>
      <c r="E142" s="106">
        <v>140000</v>
      </c>
      <c r="F142" s="117">
        <f>SUM(D142:E142)</f>
        <v>369000</v>
      </c>
      <c r="G142" s="106">
        <v>229000</v>
      </c>
      <c r="H142" s="106">
        <v>140000</v>
      </c>
      <c r="I142" s="117">
        <f>SUM(G142:H142)</f>
        <v>369000</v>
      </c>
    </row>
    <row r="143" spans="1:9">
      <c r="A143" s="119">
        <v>57</v>
      </c>
      <c r="B143" s="119">
        <v>15</v>
      </c>
      <c r="C143" s="121" t="s">
        <v>126</v>
      </c>
      <c r="D143" s="106">
        <v>1250000</v>
      </c>
      <c r="E143" s="106">
        <v>250000</v>
      </c>
      <c r="F143" s="117">
        <f t="shared" si="6"/>
        <v>1500000</v>
      </c>
      <c r="G143" s="106">
        <v>1345000</v>
      </c>
      <c r="H143" s="106">
        <v>280000</v>
      </c>
      <c r="I143" s="117">
        <f t="shared" ref="I143:I148" si="8">SUM(G143:H143)</f>
        <v>1625000</v>
      </c>
    </row>
    <row r="144" spans="1:9">
      <c r="A144" s="119">
        <v>58</v>
      </c>
      <c r="B144" s="119">
        <v>16</v>
      </c>
      <c r="C144" s="121" t="s">
        <v>127</v>
      </c>
      <c r="D144" s="106">
        <v>1116000</v>
      </c>
      <c r="E144" s="106"/>
      <c r="F144" s="117">
        <f t="shared" si="6"/>
        <v>1116000</v>
      </c>
      <c r="G144" s="106">
        <v>1116000</v>
      </c>
      <c r="H144" s="106"/>
      <c r="I144" s="117">
        <f t="shared" si="8"/>
        <v>1116000</v>
      </c>
    </row>
    <row r="145" spans="1:9">
      <c r="A145" s="119">
        <v>59</v>
      </c>
      <c r="B145" s="119">
        <v>17</v>
      </c>
      <c r="C145" s="121" t="s">
        <v>128</v>
      </c>
      <c r="D145" s="106"/>
      <c r="E145" s="106"/>
      <c r="F145" s="117">
        <f t="shared" si="6"/>
        <v>0</v>
      </c>
      <c r="G145" s="106"/>
      <c r="H145" s="106"/>
      <c r="I145" s="117">
        <f t="shared" si="8"/>
        <v>0</v>
      </c>
    </row>
    <row r="146" spans="1:9">
      <c r="A146" s="119">
        <v>60</v>
      </c>
      <c r="B146" s="119">
        <v>18</v>
      </c>
      <c r="C146" s="121" t="s">
        <v>129</v>
      </c>
      <c r="D146" s="106">
        <v>1149000</v>
      </c>
      <c r="E146" s="106">
        <v>120000</v>
      </c>
      <c r="F146" s="117">
        <f t="shared" si="6"/>
        <v>1269000</v>
      </c>
      <c r="G146" s="106">
        <v>1149000</v>
      </c>
      <c r="H146" s="106">
        <v>120000</v>
      </c>
      <c r="I146" s="117">
        <f t="shared" si="8"/>
        <v>1269000</v>
      </c>
    </row>
    <row r="147" spans="1:9">
      <c r="A147" s="119">
        <v>61</v>
      </c>
      <c r="B147" s="119">
        <v>19</v>
      </c>
      <c r="C147" s="121" t="s">
        <v>130</v>
      </c>
      <c r="D147" s="106"/>
      <c r="E147" s="106"/>
      <c r="F147" s="117">
        <f t="shared" si="6"/>
        <v>0</v>
      </c>
      <c r="G147" s="106"/>
      <c r="H147" s="106"/>
      <c r="I147" s="117">
        <f t="shared" si="8"/>
        <v>0</v>
      </c>
    </row>
    <row r="148" spans="1:9">
      <c r="A148" s="119">
        <v>62</v>
      </c>
      <c r="B148" s="119">
        <v>20</v>
      </c>
      <c r="C148" s="121" t="s">
        <v>131</v>
      </c>
      <c r="D148" s="106">
        <v>739873</v>
      </c>
      <c r="E148" s="106">
        <v>190000</v>
      </c>
      <c r="F148" s="117">
        <f t="shared" si="6"/>
        <v>929873</v>
      </c>
      <c r="G148" s="106"/>
      <c r="H148" s="106"/>
      <c r="I148" s="117">
        <f t="shared" si="8"/>
        <v>0</v>
      </c>
    </row>
    <row r="149" spans="1:9">
      <c r="A149" s="108" t="s">
        <v>58</v>
      </c>
      <c r="B149" s="109"/>
      <c r="C149" s="109"/>
      <c r="D149" s="110">
        <f>SUM(D129:D148)</f>
        <v>12379373</v>
      </c>
      <c r="E149" s="110">
        <f>SUM(E129:E148)</f>
        <v>2863835</v>
      </c>
      <c r="F149" s="110">
        <f>SUM(D149:E149)</f>
        <v>15243208</v>
      </c>
      <c r="G149" s="110">
        <f>SUM(G129:G148)</f>
        <v>13473800</v>
      </c>
      <c r="H149" s="110">
        <f>SUM(H129:H148)</f>
        <v>3551835</v>
      </c>
      <c r="I149" s="110">
        <f>SUM(G149:H149)</f>
        <v>17025635</v>
      </c>
    </row>
    <row r="150" spans="1:9">
      <c r="A150" s="126" t="s">
        <v>132</v>
      </c>
      <c r="B150" s="127"/>
      <c r="C150" s="127"/>
      <c r="D150" s="127"/>
      <c r="E150" s="127"/>
      <c r="F150" s="127"/>
      <c r="G150" s="127"/>
      <c r="H150" s="127"/>
      <c r="I150" s="128"/>
    </row>
    <row r="151" spans="1:9">
      <c r="A151" s="119">
        <v>63</v>
      </c>
      <c r="B151" s="119">
        <v>1</v>
      </c>
      <c r="C151" s="125" t="s">
        <v>133</v>
      </c>
      <c r="D151" s="106">
        <v>1501595</v>
      </c>
      <c r="E151" s="106">
        <v>895800</v>
      </c>
      <c r="F151" s="117">
        <f>SUM(D151:E151)</f>
        <v>2397395</v>
      </c>
      <c r="G151" s="106">
        <v>1501595</v>
      </c>
      <c r="H151" s="106">
        <v>885800</v>
      </c>
      <c r="I151" s="117">
        <f>SUM(G151:H151)</f>
        <v>2387395</v>
      </c>
    </row>
    <row r="152" spans="1:9">
      <c r="A152" s="119">
        <v>64</v>
      </c>
      <c r="B152" s="119">
        <v>2</v>
      </c>
      <c r="C152" s="125" t="s">
        <v>134</v>
      </c>
      <c r="D152" s="106">
        <v>258500</v>
      </c>
      <c r="E152" s="106">
        <v>263000</v>
      </c>
      <c r="F152" s="117">
        <f>SUM(D152:E152)</f>
        <v>521500</v>
      </c>
      <c r="G152" s="106">
        <v>258500</v>
      </c>
      <c r="H152" s="106">
        <v>262000</v>
      </c>
      <c r="I152" s="117">
        <f>SUM(G152:H152)</f>
        <v>520500</v>
      </c>
    </row>
    <row r="153" spans="1:9">
      <c r="A153" s="119">
        <v>65</v>
      </c>
      <c r="B153" s="119">
        <v>3</v>
      </c>
      <c r="C153" s="125" t="s">
        <v>135</v>
      </c>
      <c r="D153" s="106">
        <f>1425700+1353200</f>
        <v>2778900</v>
      </c>
      <c r="E153" s="106">
        <f>1247500+1247500</f>
        <v>2495000</v>
      </c>
      <c r="F153" s="117">
        <f t="shared" ref="F153:F170" si="9">SUM(D153:E153)</f>
        <v>5273900</v>
      </c>
      <c r="G153" s="106">
        <v>1353200</v>
      </c>
      <c r="H153" s="106">
        <v>1247500</v>
      </c>
      <c r="I153" s="117">
        <f t="shared" ref="I153:I170" si="10">SUM(G153:H153)</f>
        <v>2600700</v>
      </c>
    </row>
    <row r="154" spans="1:9">
      <c r="A154" s="119">
        <v>66</v>
      </c>
      <c r="B154" s="119">
        <v>4</v>
      </c>
      <c r="C154" s="125" t="s">
        <v>136</v>
      </c>
      <c r="D154" s="106"/>
      <c r="E154" s="106"/>
      <c r="F154" s="117">
        <f t="shared" si="9"/>
        <v>0</v>
      </c>
      <c r="G154" s="106">
        <f>300000+300000</f>
        <v>600000</v>
      </c>
      <c r="H154" s="106"/>
      <c r="I154" s="117">
        <f t="shared" si="10"/>
        <v>600000</v>
      </c>
    </row>
    <row r="155" spans="1:9">
      <c r="A155" s="119">
        <v>67</v>
      </c>
      <c r="B155" s="119">
        <v>5</v>
      </c>
      <c r="C155" s="129" t="s">
        <v>137</v>
      </c>
      <c r="D155" s="106">
        <v>1026000</v>
      </c>
      <c r="E155" s="106">
        <f>300000+300000</f>
        <v>600000</v>
      </c>
      <c r="F155" s="117">
        <f t="shared" si="9"/>
        <v>1626000</v>
      </c>
      <c r="G155" s="106"/>
      <c r="H155" s="106"/>
      <c r="I155" s="117">
        <f t="shared" si="10"/>
        <v>0</v>
      </c>
    </row>
    <row r="156" spans="1:9">
      <c r="A156" s="119">
        <v>68</v>
      </c>
      <c r="B156" s="119">
        <v>6</v>
      </c>
      <c r="C156" s="125" t="s">
        <v>138</v>
      </c>
      <c r="D156" s="106">
        <v>794000</v>
      </c>
      <c r="E156" s="106"/>
      <c r="F156" s="117">
        <f t="shared" si="9"/>
        <v>794000</v>
      </c>
      <c r="G156" s="106">
        <v>794000</v>
      </c>
      <c r="H156" s="106">
        <f>1419500+1419500</f>
        <v>2839000</v>
      </c>
      <c r="I156" s="117">
        <f t="shared" si="10"/>
        <v>3633000</v>
      </c>
    </row>
    <row r="157" spans="1:9">
      <c r="A157" s="119">
        <v>69</v>
      </c>
      <c r="B157" s="119">
        <v>7</v>
      </c>
      <c r="C157" s="125" t="s">
        <v>139</v>
      </c>
      <c r="D157" s="106">
        <v>337000</v>
      </c>
      <c r="E157" s="106">
        <v>450000</v>
      </c>
      <c r="F157" s="117">
        <f t="shared" si="9"/>
        <v>787000</v>
      </c>
      <c r="G157" s="106">
        <v>337000</v>
      </c>
      <c r="H157" s="106"/>
      <c r="I157" s="117">
        <f t="shared" si="10"/>
        <v>337000</v>
      </c>
    </row>
    <row r="158" spans="1:9">
      <c r="A158" s="119">
        <v>70</v>
      </c>
      <c r="B158" s="119">
        <v>8</v>
      </c>
      <c r="C158" s="125" t="s">
        <v>140</v>
      </c>
      <c r="D158" s="106">
        <v>561700</v>
      </c>
      <c r="E158" s="106">
        <v>939000</v>
      </c>
      <c r="F158" s="117">
        <f t="shared" si="9"/>
        <v>1500700</v>
      </c>
      <c r="G158" s="106">
        <v>549700</v>
      </c>
      <c r="H158" s="106">
        <v>939000</v>
      </c>
      <c r="I158" s="117">
        <f t="shared" si="10"/>
        <v>1488700</v>
      </c>
    </row>
    <row r="159" spans="1:9">
      <c r="A159" s="119">
        <v>71</v>
      </c>
      <c r="B159" s="119">
        <v>9</v>
      </c>
      <c r="C159" s="125" t="s">
        <v>141</v>
      </c>
      <c r="D159" s="106">
        <v>351000</v>
      </c>
      <c r="E159" s="106">
        <v>495000</v>
      </c>
      <c r="F159" s="117">
        <f t="shared" si="9"/>
        <v>846000</v>
      </c>
      <c r="G159" s="106">
        <v>328000</v>
      </c>
      <c r="H159" s="106">
        <v>490000</v>
      </c>
      <c r="I159" s="117">
        <f t="shared" si="10"/>
        <v>818000</v>
      </c>
    </row>
    <row r="160" spans="1:9">
      <c r="A160" s="119">
        <v>72</v>
      </c>
      <c r="B160" s="119">
        <v>10</v>
      </c>
      <c r="C160" s="125" t="s">
        <v>142</v>
      </c>
      <c r="D160" s="106">
        <v>357100</v>
      </c>
      <c r="E160" s="106">
        <v>74000</v>
      </c>
      <c r="F160" s="117">
        <f t="shared" si="9"/>
        <v>431100</v>
      </c>
      <c r="G160" s="106">
        <v>357000</v>
      </c>
      <c r="H160" s="106">
        <v>74100</v>
      </c>
      <c r="I160" s="117">
        <f t="shared" si="10"/>
        <v>431100</v>
      </c>
    </row>
    <row r="161" spans="1:9">
      <c r="A161" s="119">
        <v>73</v>
      </c>
      <c r="B161" s="119">
        <v>11</v>
      </c>
      <c r="C161" s="125" t="s">
        <v>143</v>
      </c>
      <c r="D161" s="106">
        <v>200000</v>
      </c>
      <c r="E161" s="106">
        <v>600000</v>
      </c>
      <c r="F161" s="117">
        <f t="shared" si="9"/>
        <v>800000</v>
      </c>
      <c r="G161" s="106">
        <v>600000</v>
      </c>
      <c r="H161" s="106">
        <v>200000</v>
      </c>
      <c r="I161" s="117">
        <f t="shared" si="10"/>
        <v>800000</v>
      </c>
    </row>
    <row r="162" spans="1:9">
      <c r="A162" s="119">
        <v>74</v>
      </c>
      <c r="B162" s="119">
        <v>12</v>
      </c>
      <c r="C162" s="125" t="s">
        <v>144</v>
      </c>
      <c r="D162" s="106">
        <v>185000</v>
      </c>
      <c r="E162" s="106">
        <v>819000</v>
      </c>
      <c r="F162" s="117">
        <f t="shared" si="9"/>
        <v>1004000</v>
      </c>
      <c r="G162" s="106">
        <v>185000</v>
      </c>
      <c r="H162" s="106">
        <v>814000</v>
      </c>
      <c r="I162" s="117">
        <f t="shared" si="10"/>
        <v>999000</v>
      </c>
    </row>
    <row r="163" spans="1:9">
      <c r="A163" s="119">
        <v>75</v>
      </c>
      <c r="B163" s="119">
        <v>13</v>
      </c>
      <c r="C163" s="125" t="s">
        <v>145</v>
      </c>
      <c r="D163" s="219"/>
      <c r="E163" s="219">
        <v>500000</v>
      </c>
      <c r="F163" s="117">
        <f t="shared" si="9"/>
        <v>500000</v>
      </c>
      <c r="G163" s="219"/>
      <c r="H163" s="219">
        <v>500000</v>
      </c>
      <c r="I163" s="117">
        <f t="shared" si="10"/>
        <v>500000</v>
      </c>
    </row>
    <row r="164" spans="1:9">
      <c r="A164" s="119">
        <v>76</v>
      </c>
      <c r="B164" s="119">
        <v>14</v>
      </c>
      <c r="C164" s="129" t="s">
        <v>146</v>
      </c>
      <c r="D164" s="106"/>
      <c r="E164" s="106"/>
      <c r="F164" s="117">
        <f t="shared" si="9"/>
        <v>0</v>
      </c>
      <c r="G164" s="106"/>
      <c r="H164" s="106">
        <f>1090000*3</f>
        <v>3270000</v>
      </c>
      <c r="I164" s="117">
        <f t="shared" si="10"/>
        <v>3270000</v>
      </c>
    </row>
    <row r="165" spans="1:9">
      <c r="A165" s="119">
        <v>77</v>
      </c>
      <c r="B165" s="119">
        <v>15</v>
      </c>
      <c r="C165" s="125" t="s">
        <v>147</v>
      </c>
      <c r="D165" s="106"/>
      <c r="E165" s="106">
        <v>1036000</v>
      </c>
      <c r="F165" s="117">
        <f t="shared" si="9"/>
        <v>1036000</v>
      </c>
      <c r="G165" s="106"/>
      <c r="H165" s="106">
        <v>1036000</v>
      </c>
      <c r="I165" s="117">
        <f t="shared" si="10"/>
        <v>1036000</v>
      </c>
    </row>
    <row r="166" spans="1:9">
      <c r="A166" s="119">
        <v>78</v>
      </c>
      <c r="B166" s="119">
        <v>16</v>
      </c>
      <c r="C166" s="125" t="s">
        <v>148</v>
      </c>
      <c r="D166" s="106"/>
      <c r="E166" s="106">
        <v>2289000</v>
      </c>
      <c r="F166" s="117">
        <f t="shared" si="9"/>
        <v>2289000</v>
      </c>
      <c r="G166" s="106"/>
      <c r="H166" s="106"/>
      <c r="I166" s="117">
        <f t="shared" si="10"/>
        <v>0</v>
      </c>
    </row>
    <row r="167" spans="1:9">
      <c r="A167" s="119">
        <v>79</v>
      </c>
      <c r="B167" s="119">
        <v>17</v>
      </c>
      <c r="C167" s="125" t="s">
        <v>149</v>
      </c>
      <c r="D167" s="106"/>
      <c r="E167" s="106">
        <v>763000</v>
      </c>
      <c r="F167" s="117">
        <f t="shared" si="9"/>
        <v>763000</v>
      </c>
      <c r="G167" s="106"/>
      <c r="H167" s="106"/>
      <c r="I167" s="117">
        <f t="shared" si="10"/>
        <v>0</v>
      </c>
    </row>
    <row r="168" spans="1:9">
      <c r="A168" s="119">
        <v>80</v>
      </c>
      <c r="B168" s="119">
        <v>18</v>
      </c>
      <c r="C168" s="121" t="s">
        <v>150</v>
      </c>
      <c r="D168" s="106"/>
      <c r="E168" s="106"/>
      <c r="F168" s="117">
        <f t="shared" si="9"/>
        <v>0</v>
      </c>
      <c r="G168" s="106"/>
      <c r="H168" s="106"/>
      <c r="I168" s="117">
        <f t="shared" si="10"/>
        <v>0</v>
      </c>
    </row>
    <row r="169" spans="1:9">
      <c r="A169" s="119">
        <v>81</v>
      </c>
      <c r="B169" s="119">
        <v>19</v>
      </c>
      <c r="C169" s="121" t="s">
        <v>151</v>
      </c>
      <c r="D169" s="106">
        <v>854100</v>
      </c>
      <c r="E169" s="106">
        <v>125000</v>
      </c>
      <c r="F169" s="117">
        <f t="shared" si="9"/>
        <v>979100</v>
      </c>
      <c r="G169" s="106">
        <v>854100</v>
      </c>
      <c r="H169" s="106">
        <v>125000</v>
      </c>
      <c r="I169" s="117">
        <f t="shared" si="10"/>
        <v>979100</v>
      </c>
    </row>
    <row r="170" spans="1:9">
      <c r="A170" s="119">
        <v>82</v>
      </c>
      <c r="B170" s="119">
        <v>20</v>
      </c>
      <c r="C170" s="121" t="s">
        <v>152</v>
      </c>
      <c r="D170" s="106">
        <v>307000</v>
      </c>
      <c r="E170" s="106">
        <v>703000</v>
      </c>
      <c r="F170" s="117">
        <f t="shared" si="9"/>
        <v>1010000</v>
      </c>
      <c r="G170" s="106">
        <v>303000</v>
      </c>
      <c r="H170" s="106">
        <v>709000</v>
      </c>
      <c r="I170" s="117">
        <f t="shared" si="10"/>
        <v>1012000</v>
      </c>
    </row>
    <row r="171" spans="1:9">
      <c r="A171" s="108" t="s">
        <v>58</v>
      </c>
      <c r="B171" s="109"/>
      <c r="C171" s="109"/>
      <c r="D171" s="110">
        <f>SUM(D151:D170)</f>
        <v>9511895</v>
      </c>
      <c r="E171" s="110">
        <f>SUM(E151:E170)</f>
        <v>13046800</v>
      </c>
      <c r="F171" s="110">
        <f>SUM(D171:E171)</f>
        <v>22558695</v>
      </c>
      <c r="G171" s="110">
        <f>SUM(G151:G170)</f>
        <v>8021095</v>
      </c>
      <c r="H171" s="110">
        <f>SUM(H151:H170)</f>
        <v>13391400</v>
      </c>
      <c r="I171" s="110">
        <f>SUM(G171:H171)</f>
        <v>21412495</v>
      </c>
    </row>
    <row r="172" spans="1:9">
      <c r="A172" s="108" t="s">
        <v>153</v>
      </c>
      <c r="B172" s="109"/>
      <c r="C172" s="109"/>
      <c r="D172" s="109"/>
      <c r="E172" s="109"/>
      <c r="F172" s="109"/>
      <c r="G172" s="109"/>
      <c r="H172" s="109"/>
      <c r="I172" s="113"/>
    </row>
    <row r="173" spans="1:9">
      <c r="A173" s="119">
        <v>83</v>
      </c>
      <c r="B173" s="119">
        <v>1</v>
      </c>
      <c r="C173" s="121" t="s">
        <v>154</v>
      </c>
      <c r="D173" s="106">
        <v>1396708</v>
      </c>
      <c r="E173" s="106">
        <v>105500</v>
      </c>
      <c r="F173" s="117">
        <f>SUM(D173:E173)</f>
        <v>1502208</v>
      </c>
      <c r="G173" s="106">
        <v>1396708</v>
      </c>
      <c r="H173" s="106">
        <v>105500</v>
      </c>
      <c r="I173" s="117">
        <f>SUM(G173:H173)</f>
        <v>1502208</v>
      </c>
    </row>
    <row r="174" spans="1:9">
      <c r="A174" s="119">
        <v>84</v>
      </c>
      <c r="B174" s="119">
        <v>2</v>
      </c>
      <c r="C174" s="121" t="s">
        <v>155</v>
      </c>
      <c r="D174" s="106"/>
      <c r="E174" s="106">
        <v>30000</v>
      </c>
      <c r="F174" s="117">
        <f t="shared" ref="F174:F195" si="11">SUM(D174:E174)</f>
        <v>30000</v>
      </c>
      <c r="G174" s="106"/>
      <c r="H174" s="106">
        <v>30000</v>
      </c>
      <c r="I174" s="117">
        <f t="shared" ref="I174:I192" si="12">SUM(G174:H174)</f>
        <v>30000</v>
      </c>
    </row>
    <row r="175" spans="1:9">
      <c r="A175" s="119">
        <v>85</v>
      </c>
      <c r="B175" s="119">
        <v>3</v>
      </c>
      <c r="C175" s="121" t="s">
        <v>156</v>
      </c>
      <c r="D175" s="106"/>
      <c r="E175" s="106">
        <f>240000+45000+80000</f>
        <v>365000</v>
      </c>
      <c r="F175" s="117">
        <f t="shared" si="11"/>
        <v>365000</v>
      </c>
      <c r="G175" s="106"/>
      <c r="H175" s="106">
        <f>240000+80000+45000</f>
        <v>365000</v>
      </c>
      <c r="I175" s="117">
        <f t="shared" si="12"/>
        <v>365000</v>
      </c>
    </row>
    <row r="176" spans="1:9">
      <c r="A176" s="119">
        <v>86</v>
      </c>
      <c r="B176" s="119">
        <v>4</v>
      </c>
      <c r="C176" s="121" t="s">
        <v>157</v>
      </c>
      <c r="D176" s="106"/>
      <c r="E176" s="106"/>
      <c r="F176" s="117">
        <f t="shared" si="11"/>
        <v>0</v>
      </c>
      <c r="G176" s="106"/>
      <c r="H176" s="106"/>
      <c r="I176" s="117">
        <f t="shared" si="12"/>
        <v>0</v>
      </c>
    </row>
    <row r="177" spans="1:9">
      <c r="A177" s="119">
        <v>87</v>
      </c>
      <c r="B177" s="119">
        <v>5</v>
      </c>
      <c r="C177" s="121" t="s">
        <v>158</v>
      </c>
      <c r="D177" s="106"/>
      <c r="E177" s="106"/>
      <c r="F177" s="117">
        <f t="shared" si="11"/>
        <v>0</v>
      </c>
      <c r="G177" s="106"/>
      <c r="H177" s="106">
        <f>80000*3+76000+78000*8</f>
        <v>940000</v>
      </c>
      <c r="I177" s="117">
        <f t="shared" si="12"/>
        <v>940000</v>
      </c>
    </row>
    <row r="178" spans="1:9">
      <c r="A178" s="119">
        <v>88</v>
      </c>
      <c r="B178" s="119">
        <v>6</v>
      </c>
      <c r="C178" s="125" t="s">
        <v>159</v>
      </c>
      <c r="D178" s="106">
        <v>20000000</v>
      </c>
      <c r="E178" s="106"/>
      <c r="F178" s="117">
        <f t="shared" si="11"/>
        <v>20000000</v>
      </c>
      <c r="G178" s="106">
        <v>20000000</v>
      </c>
      <c r="H178" s="106"/>
      <c r="I178" s="117">
        <f t="shared" si="12"/>
        <v>20000000</v>
      </c>
    </row>
    <row r="179" spans="1:9">
      <c r="A179" s="119">
        <v>89</v>
      </c>
      <c r="B179" s="119">
        <v>7</v>
      </c>
      <c r="C179" s="121" t="s">
        <v>160</v>
      </c>
      <c r="D179" s="106"/>
      <c r="E179" s="106"/>
      <c r="F179" s="117">
        <f t="shared" si="11"/>
        <v>0</v>
      </c>
      <c r="G179" s="106"/>
      <c r="H179" s="106"/>
      <c r="I179" s="117">
        <f t="shared" si="12"/>
        <v>0</v>
      </c>
    </row>
    <row r="180" spans="1:9">
      <c r="A180" s="119">
        <v>90</v>
      </c>
      <c r="B180" s="119">
        <v>8</v>
      </c>
      <c r="C180" s="121" t="s">
        <v>161</v>
      </c>
      <c r="D180" s="106"/>
      <c r="E180" s="106"/>
      <c r="F180" s="117">
        <f t="shared" si="11"/>
        <v>0</v>
      </c>
      <c r="G180" s="106"/>
      <c r="H180" s="106"/>
      <c r="I180" s="117">
        <f t="shared" si="12"/>
        <v>0</v>
      </c>
    </row>
    <row r="181" spans="1:9">
      <c r="A181" s="119">
        <v>91</v>
      </c>
      <c r="B181" s="119">
        <v>9</v>
      </c>
      <c r="C181" s="121" t="s">
        <v>162</v>
      </c>
      <c r="D181" s="106"/>
      <c r="E181" s="106"/>
      <c r="F181" s="117">
        <f t="shared" si="11"/>
        <v>0</v>
      </c>
      <c r="G181" s="106"/>
      <c r="H181" s="106"/>
      <c r="I181" s="117">
        <f t="shared" si="12"/>
        <v>0</v>
      </c>
    </row>
    <row r="182" spans="1:9">
      <c r="A182" s="119">
        <v>92</v>
      </c>
      <c r="B182" s="119">
        <v>10</v>
      </c>
      <c r="C182" s="121" t="s">
        <v>163</v>
      </c>
      <c r="D182" s="106"/>
      <c r="E182" s="106"/>
      <c r="F182" s="117">
        <f t="shared" si="11"/>
        <v>0</v>
      </c>
      <c r="G182" s="106"/>
      <c r="H182" s="106"/>
      <c r="I182" s="117">
        <f t="shared" si="12"/>
        <v>0</v>
      </c>
    </row>
    <row r="183" spans="1:9">
      <c r="A183" s="119">
        <v>93</v>
      </c>
      <c r="B183" s="119">
        <v>11</v>
      </c>
      <c r="C183" s="121" t="s">
        <v>164</v>
      </c>
      <c r="D183" s="106">
        <v>8929502</v>
      </c>
      <c r="E183" s="106"/>
      <c r="F183" s="117">
        <f t="shared" si="11"/>
        <v>8929502</v>
      </c>
      <c r="G183" s="106">
        <v>8779203</v>
      </c>
      <c r="H183" s="106"/>
      <c r="I183" s="117">
        <f t="shared" si="12"/>
        <v>8779203</v>
      </c>
    </row>
    <row r="184" spans="1:9">
      <c r="A184" s="119">
        <v>94</v>
      </c>
      <c r="B184" s="119">
        <v>12</v>
      </c>
      <c r="C184" s="121" t="s">
        <v>165</v>
      </c>
      <c r="D184" s="106"/>
      <c r="E184" s="106"/>
      <c r="F184" s="117">
        <f t="shared" si="11"/>
        <v>0</v>
      </c>
      <c r="G184" s="106"/>
      <c r="H184" s="106"/>
      <c r="I184" s="117">
        <f t="shared" si="12"/>
        <v>0</v>
      </c>
    </row>
    <row r="185" spans="1:9">
      <c r="A185" s="119">
        <v>95</v>
      </c>
      <c r="B185" s="119">
        <v>13</v>
      </c>
      <c r="C185" s="121" t="s">
        <v>166</v>
      </c>
      <c r="D185" s="106"/>
      <c r="E185" s="106"/>
      <c r="F185" s="117">
        <f t="shared" si="11"/>
        <v>0</v>
      </c>
      <c r="G185" s="106"/>
      <c r="H185" s="106"/>
      <c r="I185" s="117">
        <f t="shared" si="12"/>
        <v>0</v>
      </c>
    </row>
    <row r="186" spans="1:9">
      <c r="A186" s="119">
        <v>96</v>
      </c>
      <c r="B186" s="119">
        <v>14</v>
      </c>
      <c r="C186" s="121" t="s">
        <v>167</v>
      </c>
      <c r="D186" s="106"/>
      <c r="E186" s="106">
        <v>70000</v>
      </c>
      <c r="F186" s="117">
        <f t="shared" si="11"/>
        <v>70000</v>
      </c>
      <c r="G186" s="106"/>
      <c r="H186" s="106">
        <v>70000</v>
      </c>
      <c r="I186" s="117">
        <f t="shared" si="12"/>
        <v>70000</v>
      </c>
    </row>
    <row r="187" spans="1:9">
      <c r="A187" s="119">
        <v>97</v>
      </c>
      <c r="B187" s="119">
        <v>15</v>
      </c>
      <c r="C187" s="121" t="s">
        <v>168</v>
      </c>
      <c r="D187" s="106">
        <f>118000+357000</f>
        <v>475000</v>
      </c>
      <c r="E187" s="106">
        <v>398000</v>
      </c>
      <c r="F187" s="117">
        <f t="shared" si="11"/>
        <v>873000</v>
      </c>
      <c r="G187" s="106">
        <v>470000</v>
      </c>
      <c r="H187" s="106">
        <v>445000</v>
      </c>
      <c r="I187" s="117">
        <f t="shared" si="12"/>
        <v>915000</v>
      </c>
    </row>
    <row r="188" spans="1:9">
      <c r="A188" s="119">
        <v>98</v>
      </c>
      <c r="B188" s="119">
        <v>16</v>
      </c>
      <c r="C188" s="121" t="s">
        <v>428</v>
      </c>
      <c r="D188" s="106">
        <v>997100</v>
      </c>
      <c r="E188" s="106">
        <f>340000+403000</f>
        <v>743000</v>
      </c>
      <c r="F188" s="117">
        <f t="shared" si="11"/>
        <v>1740100</v>
      </c>
      <c r="G188" s="106">
        <v>997100</v>
      </c>
      <c r="H188" s="106">
        <f>403000+340000</f>
        <v>743000</v>
      </c>
      <c r="I188" s="117">
        <f t="shared" si="12"/>
        <v>1740100</v>
      </c>
    </row>
    <row r="189" spans="1:9">
      <c r="A189" s="119">
        <v>99</v>
      </c>
      <c r="B189" s="119">
        <v>17</v>
      </c>
      <c r="C189" s="121" t="s">
        <v>170</v>
      </c>
      <c r="D189" s="106"/>
      <c r="E189" s="106"/>
      <c r="F189" s="117">
        <f t="shared" si="11"/>
        <v>0</v>
      </c>
      <c r="G189" s="106"/>
      <c r="H189" s="106"/>
      <c r="I189" s="117">
        <f t="shared" si="12"/>
        <v>0</v>
      </c>
    </row>
    <row r="190" spans="1:9">
      <c r="A190" s="119">
        <v>100</v>
      </c>
      <c r="B190" s="119">
        <v>18</v>
      </c>
      <c r="C190" s="121" t="s">
        <v>171</v>
      </c>
      <c r="D190" s="106"/>
      <c r="E190" s="106"/>
      <c r="F190" s="117">
        <f t="shared" si="11"/>
        <v>0</v>
      </c>
      <c r="G190" s="106"/>
      <c r="H190" s="106"/>
      <c r="I190" s="117">
        <f t="shared" si="12"/>
        <v>0</v>
      </c>
    </row>
    <row r="191" spans="1:9">
      <c r="A191" s="119">
        <v>101</v>
      </c>
      <c r="B191" s="119">
        <v>19</v>
      </c>
      <c r="C191" s="121" t="s">
        <v>172</v>
      </c>
      <c r="D191" s="106"/>
      <c r="E191" s="106"/>
      <c r="F191" s="117">
        <f t="shared" si="11"/>
        <v>0</v>
      </c>
      <c r="G191" s="106"/>
      <c r="H191" s="106"/>
      <c r="I191" s="117">
        <f t="shared" si="12"/>
        <v>0</v>
      </c>
    </row>
    <row r="192" spans="1:9">
      <c r="A192" s="119">
        <v>102</v>
      </c>
      <c r="B192" s="119">
        <v>20</v>
      </c>
      <c r="C192" s="121" t="s">
        <v>173</v>
      </c>
      <c r="D192" s="106"/>
      <c r="E192" s="106"/>
      <c r="F192" s="117">
        <f t="shared" si="11"/>
        <v>0</v>
      </c>
      <c r="G192" s="106"/>
      <c r="H192" s="106"/>
      <c r="I192" s="117">
        <f t="shared" si="12"/>
        <v>0</v>
      </c>
    </row>
    <row r="193" spans="1:9">
      <c r="A193" s="119">
        <v>103</v>
      </c>
      <c r="B193" s="119">
        <v>21</v>
      </c>
      <c r="C193" s="121" t="s">
        <v>174</v>
      </c>
      <c r="D193" s="106"/>
      <c r="E193" s="106"/>
      <c r="F193" s="117">
        <f>SUM(D193:E193)</f>
        <v>0</v>
      </c>
      <c r="G193" s="106"/>
      <c r="H193" s="106"/>
      <c r="I193" s="117">
        <f>SUM(G193:H193)</f>
        <v>0</v>
      </c>
    </row>
    <row r="194" spans="1:9">
      <c r="A194" s="119">
        <v>104</v>
      </c>
      <c r="B194" s="119">
        <v>22</v>
      </c>
      <c r="C194" s="121" t="s">
        <v>175</v>
      </c>
      <c r="D194" s="106"/>
      <c r="E194" s="106"/>
      <c r="F194" s="117">
        <f t="shared" si="11"/>
        <v>0</v>
      </c>
      <c r="G194" s="106"/>
      <c r="H194" s="106"/>
      <c r="I194" s="117">
        <f>SUM(G194:H194)</f>
        <v>0</v>
      </c>
    </row>
    <row r="195" spans="1:9">
      <c r="A195" s="119">
        <v>105</v>
      </c>
      <c r="B195" s="119">
        <v>23</v>
      </c>
      <c r="C195" s="121" t="s">
        <v>176</v>
      </c>
      <c r="D195" s="106"/>
      <c r="E195" s="106"/>
      <c r="F195" s="117">
        <f t="shared" si="11"/>
        <v>0</v>
      </c>
      <c r="G195" s="106">
        <v>43500</v>
      </c>
      <c r="H195" s="106">
        <v>1500</v>
      </c>
      <c r="I195" s="117">
        <f>SUM(G195:H195)</f>
        <v>45000</v>
      </c>
    </row>
    <row r="196" spans="1:9">
      <c r="A196" s="108" t="s">
        <v>58</v>
      </c>
      <c r="B196" s="109"/>
      <c r="C196" s="109"/>
      <c r="D196" s="110">
        <f>SUM(D173:D195)</f>
        <v>31798310</v>
      </c>
      <c r="E196" s="110">
        <f>SUM(E173:E195)</f>
        <v>1711500</v>
      </c>
      <c r="F196" s="110">
        <f>SUM(D196:E196)</f>
        <v>33509810</v>
      </c>
      <c r="G196" s="110">
        <f>SUM(G173:G195)</f>
        <v>31686511</v>
      </c>
      <c r="H196" s="110">
        <f>SUM(H173:H195)</f>
        <v>2700000</v>
      </c>
      <c r="I196" s="110">
        <f>SUM(G196:H196)</f>
        <v>34386511</v>
      </c>
    </row>
    <row r="197" spans="1:9">
      <c r="A197" s="108" t="s">
        <v>177</v>
      </c>
      <c r="B197" s="109"/>
      <c r="C197" s="109"/>
      <c r="D197" s="109"/>
      <c r="E197" s="109"/>
      <c r="F197" s="109"/>
      <c r="G197" s="109"/>
      <c r="H197" s="109"/>
      <c r="I197" s="113"/>
    </row>
    <row r="198" spans="1:9">
      <c r="A198" s="119">
        <v>106</v>
      </c>
      <c r="B198" s="119">
        <v>1</v>
      </c>
      <c r="C198" s="105" t="s">
        <v>178</v>
      </c>
      <c r="D198" s="106"/>
      <c r="E198" s="106"/>
      <c r="F198" s="117">
        <f>SUM(D198:E198)</f>
        <v>0</v>
      </c>
      <c r="G198" s="106"/>
      <c r="H198" s="106">
        <v>36000</v>
      </c>
      <c r="I198" s="117">
        <f>SUM(G198:H198)</f>
        <v>36000</v>
      </c>
    </row>
    <row r="199" spans="1:9">
      <c r="A199" s="119">
        <v>107</v>
      </c>
      <c r="B199" s="119">
        <v>2</v>
      </c>
      <c r="C199" s="120" t="s">
        <v>179</v>
      </c>
      <c r="D199" s="106">
        <v>348790</v>
      </c>
      <c r="E199" s="106">
        <v>72200</v>
      </c>
      <c r="F199" s="117">
        <f t="shared" ref="F199:F251" si="13">SUM(D199:E199)</f>
        <v>420990</v>
      </c>
      <c r="G199" s="106">
        <v>352027</v>
      </c>
      <c r="H199" s="106">
        <v>72200</v>
      </c>
      <c r="I199" s="117">
        <f t="shared" ref="I199:I207" si="14">SUM(G199:H199)</f>
        <v>424227</v>
      </c>
    </row>
    <row r="200" spans="1:9">
      <c r="A200" s="119">
        <v>108</v>
      </c>
      <c r="B200" s="119">
        <v>3</v>
      </c>
      <c r="C200" s="120" t="s">
        <v>180</v>
      </c>
      <c r="D200" s="106"/>
      <c r="E200" s="106">
        <v>90000</v>
      </c>
      <c r="F200" s="117">
        <f t="shared" si="13"/>
        <v>90000</v>
      </c>
      <c r="G200" s="106"/>
      <c r="H200" s="106">
        <v>90000</v>
      </c>
      <c r="I200" s="117">
        <f t="shared" si="14"/>
        <v>90000</v>
      </c>
    </row>
    <row r="201" spans="1:9">
      <c r="A201" s="119">
        <v>109</v>
      </c>
      <c r="B201" s="119">
        <v>4</v>
      </c>
      <c r="C201" s="105" t="s">
        <v>181</v>
      </c>
      <c r="D201" s="106">
        <v>432700</v>
      </c>
      <c r="E201" s="106">
        <v>42000</v>
      </c>
      <c r="F201" s="117">
        <f t="shared" si="13"/>
        <v>474700</v>
      </c>
      <c r="G201" s="106">
        <v>410700</v>
      </c>
      <c r="H201" s="106">
        <v>42000</v>
      </c>
      <c r="I201" s="117">
        <f t="shared" si="14"/>
        <v>452700</v>
      </c>
    </row>
    <row r="202" spans="1:9">
      <c r="A202" s="119">
        <v>110</v>
      </c>
      <c r="B202" s="119">
        <v>5</v>
      </c>
      <c r="C202" s="130" t="s">
        <v>182</v>
      </c>
      <c r="D202" s="106"/>
      <c r="E202" s="106"/>
      <c r="F202" s="117">
        <f t="shared" si="13"/>
        <v>0</v>
      </c>
      <c r="G202" s="106"/>
      <c r="H202" s="106"/>
      <c r="I202" s="117">
        <f t="shared" si="14"/>
        <v>0</v>
      </c>
    </row>
    <row r="203" spans="1:9">
      <c r="A203" s="119">
        <v>111</v>
      </c>
      <c r="B203" s="119">
        <v>6</v>
      </c>
      <c r="C203" s="130" t="s">
        <v>183</v>
      </c>
      <c r="D203" s="106">
        <v>190100</v>
      </c>
      <c r="E203" s="106">
        <v>350000</v>
      </c>
      <c r="F203" s="117">
        <f t="shared" si="13"/>
        <v>540100</v>
      </c>
      <c r="G203" s="106">
        <v>190100</v>
      </c>
      <c r="H203" s="106">
        <v>350000</v>
      </c>
      <c r="I203" s="117">
        <f t="shared" si="14"/>
        <v>540100</v>
      </c>
    </row>
    <row r="204" spans="1:9">
      <c r="A204" s="119">
        <v>112</v>
      </c>
      <c r="B204" s="119">
        <v>7</v>
      </c>
      <c r="C204" s="130" t="s">
        <v>184</v>
      </c>
      <c r="D204" s="106">
        <v>1104600</v>
      </c>
      <c r="E204" s="106">
        <v>753000</v>
      </c>
      <c r="F204" s="117">
        <f t="shared" si="13"/>
        <v>1857600</v>
      </c>
      <c r="G204" s="106"/>
      <c r="H204" s="106"/>
      <c r="I204" s="117">
        <f t="shared" si="14"/>
        <v>0</v>
      </c>
    </row>
    <row r="205" spans="1:9">
      <c r="A205" s="119">
        <v>113</v>
      </c>
      <c r="B205" s="119">
        <v>8</v>
      </c>
      <c r="C205" s="130" t="s">
        <v>185</v>
      </c>
      <c r="D205" s="106"/>
      <c r="E205" s="106"/>
      <c r="F205" s="117">
        <f t="shared" si="13"/>
        <v>0</v>
      </c>
      <c r="G205" s="106"/>
      <c r="H205" s="106"/>
      <c r="I205" s="117">
        <f t="shared" si="14"/>
        <v>0</v>
      </c>
    </row>
    <row r="206" spans="1:9">
      <c r="A206" s="119">
        <v>114</v>
      </c>
      <c r="B206" s="119">
        <v>9</v>
      </c>
      <c r="C206" s="130" t="s">
        <v>186</v>
      </c>
      <c r="D206" s="106"/>
      <c r="E206" s="106"/>
      <c r="F206" s="117">
        <f t="shared" si="13"/>
        <v>0</v>
      </c>
      <c r="G206" s="106"/>
      <c r="H206" s="106"/>
      <c r="I206" s="117">
        <f t="shared" si="14"/>
        <v>0</v>
      </c>
    </row>
    <row r="207" spans="1:9">
      <c r="A207" s="119">
        <v>115</v>
      </c>
      <c r="B207" s="119">
        <v>10</v>
      </c>
      <c r="C207" s="130" t="s">
        <v>187</v>
      </c>
      <c r="D207" s="106"/>
      <c r="E207" s="106"/>
      <c r="F207" s="117">
        <f t="shared" si="13"/>
        <v>0</v>
      </c>
      <c r="G207" s="106"/>
      <c r="H207" s="106"/>
      <c r="I207" s="117">
        <f t="shared" si="14"/>
        <v>0</v>
      </c>
    </row>
    <row r="208" spans="1:9">
      <c r="A208" s="119">
        <v>116</v>
      </c>
      <c r="B208" s="119">
        <v>11</v>
      </c>
      <c r="C208" s="310" t="s">
        <v>188</v>
      </c>
      <c r="E208" s="106">
        <v>400000</v>
      </c>
      <c r="F208" s="117">
        <f>SUM(D208:E208)</f>
        <v>400000</v>
      </c>
      <c r="H208" s="106">
        <v>400000</v>
      </c>
      <c r="I208" s="117">
        <f>SUM(G208:H208)</f>
        <v>400000</v>
      </c>
    </row>
    <row r="209" spans="1:9">
      <c r="A209" s="119">
        <v>117</v>
      </c>
      <c r="B209" s="119">
        <v>12</v>
      </c>
      <c r="C209" s="130" t="s">
        <v>189</v>
      </c>
      <c r="D209" s="106">
        <v>76000</v>
      </c>
      <c r="E209" s="106">
        <v>300000</v>
      </c>
      <c r="F209" s="117">
        <f>SUM(D209:E209)</f>
        <v>376000</v>
      </c>
      <c r="G209" s="106">
        <v>76000</v>
      </c>
      <c r="H209" s="106">
        <v>300000</v>
      </c>
      <c r="I209" s="117">
        <f>SUM(G209:H209)</f>
        <v>376000</v>
      </c>
    </row>
    <row r="210" spans="1:9">
      <c r="A210" s="119">
        <v>118</v>
      </c>
      <c r="B210" s="119">
        <v>13</v>
      </c>
      <c r="C210" s="130" t="s">
        <v>190</v>
      </c>
      <c r="D210" s="106"/>
      <c r="E210" s="106"/>
      <c r="F210" s="117">
        <f t="shared" si="13"/>
        <v>0</v>
      </c>
      <c r="G210" s="106">
        <v>992800</v>
      </c>
      <c r="H210" s="106">
        <v>1121000</v>
      </c>
      <c r="I210" s="117">
        <f t="shared" ref="I210:I251" si="15">SUM(G210:H210)</f>
        <v>2113800</v>
      </c>
    </row>
    <row r="211" spans="1:9">
      <c r="A211" s="119">
        <v>119</v>
      </c>
      <c r="B211" s="119">
        <v>14</v>
      </c>
      <c r="C211" s="130" t="s">
        <v>191</v>
      </c>
      <c r="D211" s="106"/>
      <c r="E211" s="106"/>
      <c r="F211" s="117">
        <f t="shared" si="13"/>
        <v>0</v>
      </c>
      <c r="G211" s="106">
        <v>420000</v>
      </c>
      <c r="H211" s="106">
        <v>300000</v>
      </c>
      <c r="I211" s="117">
        <f t="shared" si="15"/>
        <v>720000</v>
      </c>
    </row>
    <row r="212" spans="1:9">
      <c r="A212" s="119">
        <v>120</v>
      </c>
      <c r="B212" s="119">
        <v>15</v>
      </c>
      <c r="C212" s="130" t="s">
        <v>192</v>
      </c>
      <c r="D212" s="106"/>
      <c r="E212" s="106">
        <v>26000</v>
      </c>
      <c r="F212" s="117">
        <f t="shared" si="13"/>
        <v>26000</v>
      </c>
      <c r="G212" s="106"/>
      <c r="H212" s="106">
        <v>26000</v>
      </c>
      <c r="I212" s="117">
        <f t="shared" si="15"/>
        <v>26000</v>
      </c>
    </row>
    <row r="213" spans="1:9">
      <c r="A213" s="119">
        <v>121</v>
      </c>
      <c r="B213" s="119">
        <v>16</v>
      </c>
      <c r="C213" s="130" t="s">
        <v>193</v>
      </c>
      <c r="D213" s="106"/>
      <c r="E213" s="106"/>
      <c r="F213" s="117">
        <f t="shared" si="13"/>
        <v>0</v>
      </c>
      <c r="G213" s="106"/>
      <c r="H213" s="106"/>
      <c r="I213" s="117">
        <f t="shared" si="15"/>
        <v>0</v>
      </c>
    </row>
    <row r="214" spans="1:9">
      <c r="A214" s="119">
        <v>122</v>
      </c>
      <c r="B214" s="119">
        <v>17</v>
      </c>
      <c r="C214" s="130" t="s">
        <v>194</v>
      </c>
      <c r="D214" s="106"/>
      <c r="E214" s="106">
        <v>27000</v>
      </c>
      <c r="F214" s="117">
        <f t="shared" si="13"/>
        <v>27000</v>
      </c>
      <c r="G214" s="106"/>
      <c r="H214" s="106">
        <v>27000</v>
      </c>
      <c r="I214" s="117">
        <f t="shared" si="15"/>
        <v>27000</v>
      </c>
    </row>
    <row r="215" spans="1:9">
      <c r="A215" s="119">
        <v>123</v>
      </c>
      <c r="B215" s="119">
        <v>18</v>
      </c>
      <c r="C215" s="130" t="s">
        <v>195</v>
      </c>
      <c r="D215" s="106"/>
      <c r="E215" s="106"/>
      <c r="F215" s="117">
        <f t="shared" si="13"/>
        <v>0</v>
      </c>
      <c r="G215" s="106"/>
      <c r="H215" s="106"/>
      <c r="I215" s="117">
        <f t="shared" si="15"/>
        <v>0</v>
      </c>
    </row>
    <row r="216" spans="1:9">
      <c r="A216" s="119">
        <v>124</v>
      </c>
      <c r="B216" s="119">
        <v>19</v>
      </c>
      <c r="C216" s="130" t="s">
        <v>196</v>
      </c>
      <c r="D216" s="106"/>
      <c r="E216" s="106">
        <v>187000</v>
      </c>
      <c r="F216" s="117">
        <f t="shared" si="13"/>
        <v>187000</v>
      </c>
      <c r="G216" s="106"/>
      <c r="H216" s="106">
        <v>187000</v>
      </c>
      <c r="I216" s="117">
        <f t="shared" si="15"/>
        <v>187000</v>
      </c>
    </row>
    <row r="217" spans="1:9">
      <c r="A217" s="119">
        <v>125</v>
      </c>
      <c r="B217" s="119">
        <v>20</v>
      </c>
      <c r="C217" s="130" t="s">
        <v>197</v>
      </c>
      <c r="D217" s="106"/>
      <c r="E217" s="106">
        <v>116000</v>
      </c>
      <c r="F217" s="117">
        <f t="shared" si="13"/>
        <v>116000</v>
      </c>
      <c r="G217" s="106"/>
      <c r="H217" s="106"/>
      <c r="I217" s="117">
        <f t="shared" si="15"/>
        <v>0</v>
      </c>
    </row>
    <row r="218" spans="1:9">
      <c r="A218" s="119">
        <v>126</v>
      </c>
      <c r="B218" s="119">
        <v>21</v>
      </c>
      <c r="C218" s="130" t="s">
        <v>198</v>
      </c>
      <c r="D218" s="106"/>
      <c r="E218" s="106"/>
      <c r="F218" s="117">
        <f t="shared" si="13"/>
        <v>0</v>
      </c>
      <c r="G218" s="106">
        <v>91000</v>
      </c>
      <c r="H218" s="106">
        <v>145000</v>
      </c>
      <c r="I218" s="117">
        <f t="shared" si="15"/>
        <v>236000</v>
      </c>
    </row>
    <row r="219" spans="1:9">
      <c r="A219" s="119">
        <v>127</v>
      </c>
      <c r="B219" s="119">
        <v>22</v>
      </c>
      <c r="C219" s="130" t="s">
        <v>199</v>
      </c>
      <c r="D219" s="106"/>
      <c r="E219" s="106">
        <v>180000</v>
      </c>
      <c r="F219" s="117">
        <f t="shared" si="13"/>
        <v>180000</v>
      </c>
      <c r="G219" s="106"/>
      <c r="H219" s="106">
        <v>175000</v>
      </c>
      <c r="I219" s="117">
        <f t="shared" si="15"/>
        <v>175000</v>
      </c>
    </row>
    <row r="220" spans="1:9">
      <c r="A220" s="119">
        <v>128</v>
      </c>
      <c r="B220" s="119">
        <v>23</v>
      </c>
      <c r="C220" s="130" t="s">
        <v>200</v>
      </c>
      <c r="D220" s="106"/>
      <c r="E220" s="106"/>
      <c r="F220" s="117">
        <f t="shared" si="13"/>
        <v>0</v>
      </c>
      <c r="G220" s="106"/>
      <c r="H220" s="106"/>
      <c r="I220" s="117">
        <f t="shared" si="15"/>
        <v>0</v>
      </c>
    </row>
    <row r="221" spans="1:9">
      <c r="A221" s="119">
        <v>129</v>
      </c>
      <c r="B221" s="119">
        <v>24</v>
      </c>
      <c r="C221" s="130" t="s">
        <v>201</v>
      </c>
      <c r="D221" s="106">
        <v>79000</v>
      </c>
      <c r="E221" s="106">
        <v>690000</v>
      </c>
      <c r="F221" s="117">
        <f t="shared" si="13"/>
        <v>769000</v>
      </c>
      <c r="G221" s="106">
        <v>79000</v>
      </c>
      <c r="H221" s="106">
        <v>715000</v>
      </c>
      <c r="I221" s="117">
        <f t="shared" si="15"/>
        <v>794000</v>
      </c>
    </row>
    <row r="222" spans="1:9">
      <c r="A222" s="119">
        <v>130</v>
      </c>
      <c r="B222" s="119">
        <v>25</v>
      </c>
      <c r="C222" s="130" t="s">
        <v>202</v>
      </c>
      <c r="D222" s="106">
        <v>354000</v>
      </c>
      <c r="E222" s="106"/>
      <c r="F222" s="117">
        <f t="shared" si="13"/>
        <v>354000</v>
      </c>
      <c r="G222" s="106">
        <v>354000</v>
      </c>
      <c r="H222" s="106"/>
      <c r="I222" s="117">
        <f t="shared" si="15"/>
        <v>354000</v>
      </c>
    </row>
    <row r="223" spans="1:9">
      <c r="A223" s="119">
        <v>131</v>
      </c>
      <c r="B223" s="119">
        <v>26</v>
      </c>
      <c r="C223" s="130" t="s">
        <v>203</v>
      </c>
      <c r="D223" s="106"/>
      <c r="E223" s="106"/>
      <c r="F223" s="117">
        <f t="shared" si="13"/>
        <v>0</v>
      </c>
      <c r="G223" s="106"/>
      <c r="H223" s="106"/>
      <c r="I223" s="117">
        <f t="shared" si="15"/>
        <v>0</v>
      </c>
    </row>
    <row r="224" spans="1:9">
      <c r="A224" s="119">
        <v>132</v>
      </c>
      <c r="B224" s="119">
        <v>27</v>
      </c>
      <c r="C224" s="130" t="s">
        <v>204</v>
      </c>
      <c r="D224" s="106">
        <v>890000</v>
      </c>
      <c r="E224" s="106"/>
      <c r="F224" s="117">
        <f t="shared" si="13"/>
        <v>890000</v>
      </c>
      <c r="G224" s="106">
        <v>885000</v>
      </c>
      <c r="H224" s="106"/>
      <c r="I224" s="117">
        <f t="shared" si="15"/>
        <v>885000</v>
      </c>
    </row>
    <row r="225" spans="1:9">
      <c r="A225" s="119">
        <v>133</v>
      </c>
      <c r="B225" s="119">
        <v>28</v>
      </c>
      <c r="C225" s="130" t="s">
        <v>205</v>
      </c>
      <c r="D225" s="106"/>
      <c r="E225" s="106"/>
      <c r="F225" s="117">
        <f t="shared" si="13"/>
        <v>0</v>
      </c>
      <c r="G225" s="106"/>
      <c r="H225" s="106"/>
      <c r="I225" s="117">
        <f t="shared" si="15"/>
        <v>0</v>
      </c>
    </row>
    <row r="226" spans="1:9">
      <c r="A226" s="119">
        <v>134</v>
      </c>
      <c r="B226" s="119">
        <v>29</v>
      </c>
      <c r="C226" s="130" t="s">
        <v>206</v>
      </c>
      <c r="D226" s="106"/>
      <c r="E226" s="106"/>
      <c r="F226" s="117">
        <f t="shared" si="13"/>
        <v>0</v>
      </c>
      <c r="G226" s="106"/>
      <c r="H226" s="106">
        <v>1284000</v>
      </c>
      <c r="I226" s="117">
        <f t="shared" si="15"/>
        <v>1284000</v>
      </c>
    </row>
    <row r="227" spans="1:9">
      <c r="A227" s="119">
        <v>135</v>
      </c>
      <c r="B227" s="119">
        <v>30</v>
      </c>
      <c r="C227" s="130" t="s">
        <v>207</v>
      </c>
      <c r="D227" s="106"/>
      <c r="E227" s="106"/>
      <c r="F227" s="117">
        <f t="shared" si="13"/>
        <v>0</v>
      </c>
      <c r="G227" s="106"/>
      <c r="H227" s="106"/>
      <c r="I227" s="117">
        <f t="shared" si="15"/>
        <v>0</v>
      </c>
    </row>
    <row r="228" spans="1:9">
      <c r="A228" s="119">
        <v>136</v>
      </c>
      <c r="B228" s="119">
        <v>31</v>
      </c>
      <c r="C228" s="130" t="s">
        <v>208</v>
      </c>
      <c r="D228" s="106"/>
      <c r="E228" s="106"/>
      <c r="F228" s="117">
        <f t="shared" si="13"/>
        <v>0</v>
      </c>
      <c r="G228" s="106"/>
      <c r="H228" s="106"/>
      <c r="I228" s="117">
        <f t="shared" si="15"/>
        <v>0</v>
      </c>
    </row>
    <row r="229" spans="1:9">
      <c r="A229" s="119">
        <v>137</v>
      </c>
      <c r="B229" s="119">
        <v>32</v>
      </c>
      <c r="C229" s="130" t="s">
        <v>209</v>
      </c>
      <c r="D229" s="106"/>
      <c r="E229" s="106">
        <v>114000</v>
      </c>
      <c r="F229" s="117">
        <f t="shared" si="13"/>
        <v>114000</v>
      </c>
      <c r="G229" s="106"/>
      <c r="H229" s="106">
        <v>113000</v>
      </c>
      <c r="I229" s="117">
        <f t="shared" si="15"/>
        <v>113000</v>
      </c>
    </row>
    <row r="230" spans="1:9">
      <c r="A230" s="119">
        <v>138</v>
      </c>
      <c r="B230" s="119">
        <v>33</v>
      </c>
      <c r="C230" s="130" t="s">
        <v>210</v>
      </c>
      <c r="D230" s="106">
        <v>86000</v>
      </c>
      <c r="E230" s="106"/>
      <c r="F230" s="117">
        <f t="shared" si="13"/>
        <v>86000</v>
      </c>
      <c r="G230" s="106">
        <v>86000</v>
      </c>
      <c r="H230" s="106"/>
      <c r="I230" s="117">
        <f t="shared" si="15"/>
        <v>86000</v>
      </c>
    </row>
    <row r="231" spans="1:9">
      <c r="A231" s="119">
        <v>139</v>
      </c>
      <c r="B231" s="119">
        <v>34</v>
      </c>
      <c r="C231" s="130" t="s">
        <v>211</v>
      </c>
      <c r="D231" s="106"/>
      <c r="E231" s="106"/>
      <c r="F231" s="117">
        <f t="shared" si="13"/>
        <v>0</v>
      </c>
      <c r="G231" s="106"/>
      <c r="H231" s="106"/>
      <c r="I231" s="117">
        <f t="shared" si="15"/>
        <v>0</v>
      </c>
    </row>
    <row r="232" spans="1:9">
      <c r="A232" s="119">
        <v>140</v>
      </c>
      <c r="B232" s="119">
        <v>35</v>
      </c>
      <c r="C232" s="130" t="s">
        <v>212</v>
      </c>
      <c r="D232" s="106"/>
      <c r="E232" s="106"/>
      <c r="F232" s="117">
        <f t="shared" si="13"/>
        <v>0</v>
      </c>
      <c r="G232" s="106"/>
      <c r="H232" s="106"/>
      <c r="I232" s="117">
        <f t="shared" si="15"/>
        <v>0</v>
      </c>
    </row>
    <row r="233" spans="1:9">
      <c r="A233" s="119">
        <v>141</v>
      </c>
      <c r="B233" s="119">
        <v>36</v>
      </c>
      <c r="C233" s="130" t="s">
        <v>213</v>
      </c>
      <c r="D233" s="106"/>
      <c r="E233" s="106"/>
      <c r="F233" s="117">
        <f t="shared" si="13"/>
        <v>0</v>
      </c>
      <c r="G233" s="106"/>
      <c r="H233" s="106"/>
      <c r="I233" s="117">
        <f t="shared" si="15"/>
        <v>0</v>
      </c>
    </row>
    <row r="234" spans="1:9">
      <c r="A234" s="119">
        <v>142</v>
      </c>
      <c r="B234" s="119">
        <v>37</v>
      </c>
      <c r="C234" s="130" t="s">
        <v>214</v>
      </c>
      <c r="D234" s="106">
        <v>91000</v>
      </c>
      <c r="E234" s="106">
        <v>145000</v>
      </c>
      <c r="F234" s="117">
        <f t="shared" si="13"/>
        <v>236000</v>
      </c>
      <c r="G234" s="106"/>
      <c r="H234" s="106"/>
      <c r="I234" s="117">
        <f t="shared" si="15"/>
        <v>0</v>
      </c>
    </row>
    <row r="235" spans="1:9">
      <c r="A235" s="119">
        <v>143</v>
      </c>
      <c r="B235" s="119">
        <v>38</v>
      </c>
      <c r="C235" s="130" t="s">
        <v>215</v>
      </c>
      <c r="D235" s="106"/>
      <c r="E235" s="106"/>
      <c r="F235" s="117">
        <f t="shared" si="13"/>
        <v>0</v>
      </c>
      <c r="G235" s="106"/>
      <c r="H235" s="106"/>
      <c r="I235" s="117">
        <f t="shared" si="15"/>
        <v>0</v>
      </c>
    </row>
    <row r="236" spans="1:9">
      <c r="A236" s="119">
        <v>144</v>
      </c>
      <c r="B236" s="119">
        <v>39</v>
      </c>
      <c r="C236" s="130" t="s">
        <v>216</v>
      </c>
      <c r="D236" s="106"/>
      <c r="E236" s="106">
        <v>330000</v>
      </c>
      <c r="F236" s="117">
        <f t="shared" si="13"/>
        <v>330000</v>
      </c>
      <c r="G236" s="106"/>
      <c r="H236" s="106">
        <v>330000</v>
      </c>
      <c r="I236" s="117">
        <f t="shared" si="15"/>
        <v>330000</v>
      </c>
    </row>
    <row r="237" spans="1:9">
      <c r="A237" s="119">
        <v>145</v>
      </c>
      <c r="B237" s="119">
        <v>40</v>
      </c>
      <c r="C237" s="130" t="s">
        <v>217</v>
      </c>
      <c r="D237" s="106"/>
      <c r="E237" s="106"/>
      <c r="F237" s="117">
        <f t="shared" si="13"/>
        <v>0</v>
      </c>
      <c r="G237" s="106"/>
      <c r="H237" s="106"/>
      <c r="I237" s="117">
        <f t="shared" si="15"/>
        <v>0</v>
      </c>
    </row>
    <row r="238" spans="1:9">
      <c r="A238" s="119">
        <v>146</v>
      </c>
      <c r="B238" s="119">
        <v>41</v>
      </c>
      <c r="C238" s="130" t="s">
        <v>218</v>
      </c>
      <c r="D238" s="106"/>
      <c r="E238" s="106"/>
      <c r="F238" s="117">
        <f t="shared" si="13"/>
        <v>0</v>
      </c>
      <c r="G238" s="106"/>
      <c r="H238" s="106"/>
      <c r="I238" s="117">
        <f t="shared" si="15"/>
        <v>0</v>
      </c>
    </row>
    <row r="239" spans="1:9">
      <c r="A239" s="119">
        <v>147</v>
      </c>
      <c r="B239" s="119">
        <v>42</v>
      </c>
      <c r="C239" s="130" t="s">
        <v>219</v>
      </c>
      <c r="D239" s="106"/>
      <c r="E239" s="106"/>
      <c r="F239" s="117">
        <f t="shared" si="13"/>
        <v>0</v>
      </c>
      <c r="G239" s="106"/>
      <c r="H239" s="106"/>
      <c r="I239" s="117">
        <f t="shared" si="15"/>
        <v>0</v>
      </c>
    </row>
    <row r="240" spans="1:9">
      <c r="A240" s="119">
        <v>148</v>
      </c>
      <c r="B240" s="119">
        <v>43</v>
      </c>
      <c r="C240" s="130" t="s">
        <v>220</v>
      </c>
      <c r="D240" s="106"/>
      <c r="E240" s="106"/>
      <c r="F240" s="117">
        <f t="shared" si="13"/>
        <v>0</v>
      </c>
      <c r="G240" s="106"/>
      <c r="H240" s="106"/>
      <c r="I240" s="117">
        <f t="shared" si="15"/>
        <v>0</v>
      </c>
    </row>
    <row r="241" spans="1:9">
      <c r="A241" s="119">
        <v>149</v>
      </c>
      <c r="B241" s="119">
        <v>44</v>
      </c>
      <c r="C241" s="130" t="s">
        <v>221</v>
      </c>
      <c r="D241" s="106"/>
      <c r="E241" s="106"/>
      <c r="F241" s="117">
        <f t="shared" si="13"/>
        <v>0</v>
      </c>
      <c r="G241" s="106"/>
      <c r="H241" s="106"/>
      <c r="I241" s="117">
        <f t="shared" si="15"/>
        <v>0</v>
      </c>
    </row>
    <row r="242" spans="1:9">
      <c r="A242" s="119">
        <v>150</v>
      </c>
      <c r="B242" s="119">
        <v>45</v>
      </c>
      <c r="C242" s="130" t="s">
        <v>222</v>
      </c>
      <c r="D242" s="106"/>
      <c r="E242" s="106"/>
      <c r="F242" s="117">
        <f t="shared" si="13"/>
        <v>0</v>
      </c>
      <c r="G242" s="106">
        <v>3000000</v>
      </c>
      <c r="H242" s="106"/>
      <c r="I242" s="117">
        <f t="shared" si="15"/>
        <v>3000000</v>
      </c>
    </row>
    <row r="243" spans="1:9">
      <c r="A243" s="119">
        <v>151</v>
      </c>
      <c r="B243" s="119">
        <v>46</v>
      </c>
      <c r="C243" s="130" t="s">
        <v>306</v>
      </c>
      <c r="D243" s="106">
        <v>750000</v>
      </c>
      <c r="E243" s="106"/>
      <c r="F243" s="117">
        <f t="shared" si="13"/>
        <v>750000</v>
      </c>
      <c r="G243" s="106">
        <v>750000</v>
      </c>
      <c r="H243" s="106"/>
      <c r="I243" s="117">
        <f t="shared" si="15"/>
        <v>750000</v>
      </c>
    </row>
    <row r="244" spans="1:9">
      <c r="A244" s="119">
        <v>152</v>
      </c>
      <c r="B244" s="119">
        <v>47</v>
      </c>
      <c r="C244" s="130" t="s">
        <v>281</v>
      </c>
      <c r="D244" s="106">
        <v>350000</v>
      </c>
      <c r="E244" s="106"/>
      <c r="F244" s="117">
        <f t="shared" si="13"/>
        <v>350000</v>
      </c>
      <c r="G244" s="106">
        <v>350000</v>
      </c>
      <c r="H244" s="106"/>
      <c r="I244" s="117">
        <f t="shared" si="15"/>
        <v>350000</v>
      </c>
    </row>
    <row r="245" spans="1:9">
      <c r="A245" s="119">
        <v>153</v>
      </c>
      <c r="B245" s="119">
        <v>48</v>
      </c>
      <c r="C245" s="130" t="s">
        <v>347</v>
      </c>
      <c r="D245" s="106">
        <v>1000000</v>
      </c>
      <c r="E245" s="106"/>
      <c r="F245" s="117">
        <f t="shared" si="13"/>
        <v>1000000</v>
      </c>
      <c r="G245" s="106">
        <v>1000000</v>
      </c>
      <c r="H245" s="106"/>
      <c r="I245" s="117">
        <f t="shared" si="15"/>
        <v>1000000</v>
      </c>
    </row>
    <row r="246" spans="1:9">
      <c r="A246" s="119">
        <v>154</v>
      </c>
      <c r="B246" s="119">
        <v>49</v>
      </c>
      <c r="C246" s="130" t="s">
        <v>348</v>
      </c>
      <c r="D246" s="106"/>
      <c r="E246" s="106"/>
      <c r="F246" s="117">
        <f t="shared" si="13"/>
        <v>0</v>
      </c>
      <c r="G246" s="106"/>
      <c r="H246" s="106"/>
      <c r="I246" s="117">
        <f t="shared" si="15"/>
        <v>0</v>
      </c>
    </row>
    <row r="247" spans="1:9">
      <c r="A247" s="119">
        <v>155</v>
      </c>
      <c r="B247" s="119">
        <v>50</v>
      </c>
      <c r="C247" s="130" t="s">
        <v>374</v>
      </c>
      <c r="D247" s="106">
        <v>1700000</v>
      </c>
      <c r="E247" s="106"/>
      <c r="F247" s="117">
        <f t="shared" si="13"/>
        <v>1700000</v>
      </c>
      <c r="G247" s="106">
        <v>1700000</v>
      </c>
      <c r="H247" s="106"/>
      <c r="I247" s="117">
        <f t="shared" si="15"/>
        <v>1700000</v>
      </c>
    </row>
    <row r="248" spans="1:9">
      <c r="A248" s="119">
        <v>156</v>
      </c>
      <c r="B248" s="119">
        <v>51</v>
      </c>
      <c r="C248" s="130" t="s">
        <v>704</v>
      </c>
      <c r="D248" s="106">
        <v>1000000</v>
      </c>
      <c r="E248" s="106"/>
      <c r="F248" s="117"/>
      <c r="G248" s="106">
        <v>1000000</v>
      </c>
      <c r="H248" s="106"/>
      <c r="I248" s="117">
        <f t="shared" si="15"/>
        <v>1000000</v>
      </c>
    </row>
    <row r="249" spans="1:9">
      <c r="A249" s="119">
        <v>157</v>
      </c>
      <c r="B249" s="119">
        <v>52</v>
      </c>
      <c r="C249" s="130" t="s">
        <v>375</v>
      </c>
      <c r="D249" s="106"/>
      <c r="E249" s="106"/>
      <c r="F249" s="117">
        <f t="shared" si="13"/>
        <v>0</v>
      </c>
      <c r="G249" s="106"/>
      <c r="H249" s="106"/>
      <c r="I249" s="117">
        <f t="shared" si="15"/>
        <v>0</v>
      </c>
    </row>
    <row r="250" spans="1:9">
      <c r="A250" s="119">
        <v>158</v>
      </c>
      <c r="B250" s="119">
        <v>53</v>
      </c>
      <c r="C250" s="130" t="s">
        <v>224</v>
      </c>
      <c r="D250" s="106"/>
      <c r="E250" s="106"/>
      <c r="F250" s="117">
        <f t="shared" si="13"/>
        <v>0</v>
      </c>
      <c r="G250" s="106"/>
      <c r="H250" s="106"/>
      <c r="I250" s="117">
        <f t="shared" si="15"/>
        <v>0</v>
      </c>
    </row>
    <row r="251" spans="1:9">
      <c r="A251" s="119">
        <v>159</v>
      </c>
      <c r="B251" s="119">
        <v>54</v>
      </c>
      <c r="C251" s="131" t="s">
        <v>225</v>
      </c>
      <c r="D251" s="106">
        <v>950000</v>
      </c>
      <c r="E251" s="106"/>
      <c r="F251" s="117">
        <f t="shared" si="13"/>
        <v>950000</v>
      </c>
      <c r="G251" s="106">
        <v>950000</v>
      </c>
      <c r="H251" s="106"/>
      <c r="I251" s="117">
        <f t="shared" si="15"/>
        <v>950000</v>
      </c>
    </row>
    <row r="252" spans="1:9">
      <c r="A252" s="132" t="s">
        <v>58</v>
      </c>
      <c r="B252" s="132"/>
      <c r="C252" s="132"/>
      <c r="D252" s="110">
        <f>SUM(D198:D251)</f>
        <v>9402190</v>
      </c>
      <c r="E252" s="110">
        <f>SUM(E198:E251)</f>
        <v>3822200</v>
      </c>
      <c r="F252" s="110">
        <f>SUM(D252:E252)</f>
        <v>13224390</v>
      </c>
      <c r="G252" s="110">
        <f>SUM(G198:G251)</f>
        <v>12686627</v>
      </c>
      <c r="H252" s="110">
        <f>SUM(H198:H251)</f>
        <v>5713200</v>
      </c>
      <c r="I252" s="110">
        <f>SUM(G252:H252)</f>
        <v>18399827</v>
      </c>
    </row>
    <row r="253" spans="1:9">
      <c r="A253" s="108" t="s">
        <v>226</v>
      </c>
      <c r="B253" s="109"/>
      <c r="C253" s="109"/>
      <c r="D253" s="109"/>
      <c r="E253" s="109"/>
      <c r="F253" s="109"/>
      <c r="G253" s="109"/>
      <c r="H253" s="109"/>
      <c r="I253" s="113"/>
    </row>
    <row r="254" spans="1:9">
      <c r="A254" s="119">
        <v>160</v>
      </c>
      <c r="B254" s="119">
        <v>1</v>
      </c>
      <c r="C254" s="125" t="s">
        <v>227</v>
      </c>
      <c r="D254" s="106">
        <f>148000+961778</f>
        <v>1109778</v>
      </c>
      <c r="E254" s="106">
        <v>30000</v>
      </c>
      <c r="F254" s="117">
        <f>SUM(D254:E254)</f>
        <v>1139778</v>
      </c>
      <c r="G254" s="106">
        <v>961778</v>
      </c>
      <c r="H254" s="106">
        <v>30000</v>
      </c>
      <c r="I254" s="117">
        <f>SUM(G254:H254)</f>
        <v>991778</v>
      </c>
    </row>
    <row r="255" spans="1:9">
      <c r="A255" s="108" t="s">
        <v>101</v>
      </c>
      <c r="B255" s="109"/>
      <c r="C255" s="109"/>
      <c r="D255" s="110">
        <f>D254</f>
        <v>1109778</v>
      </c>
      <c r="E255" s="110">
        <f>E254</f>
        <v>30000</v>
      </c>
      <c r="F255" s="110">
        <f>SUM(D255:E255)</f>
        <v>1139778</v>
      </c>
      <c r="G255" s="110">
        <f>G254</f>
        <v>961778</v>
      </c>
      <c r="H255" s="110">
        <f>H254</f>
        <v>30000</v>
      </c>
      <c r="I255" s="110">
        <f>SUM(G255:H255)</f>
        <v>991778</v>
      </c>
    </row>
    <row r="256" spans="1:9">
      <c r="A256" s="108" t="s">
        <v>228</v>
      </c>
      <c r="B256" s="109"/>
      <c r="C256" s="109"/>
      <c r="D256" s="109"/>
      <c r="E256" s="109"/>
      <c r="F256" s="109"/>
      <c r="G256" s="109"/>
      <c r="H256" s="109"/>
      <c r="I256" s="113"/>
    </row>
    <row r="257" spans="1:9">
      <c r="A257" s="119">
        <v>161</v>
      </c>
      <c r="B257" s="119">
        <v>1</v>
      </c>
      <c r="C257" s="133" t="s">
        <v>229</v>
      </c>
      <c r="D257" s="106"/>
      <c r="E257" s="134"/>
      <c r="F257" s="117">
        <f>SUM(D257:E257)</f>
        <v>0</v>
      </c>
      <c r="G257" s="106"/>
      <c r="H257" s="134"/>
      <c r="I257" s="117">
        <f>SUM(G257:H257)</f>
        <v>0</v>
      </c>
    </row>
    <row r="258" spans="1:9">
      <c r="A258" s="119">
        <v>162</v>
      </c>
      <c r="B258" s="119">
        <v>2</v>
      </c>
      <c r="C258" s="220" t="s">
        <v>429</v>
      </c>
      <c r="D258" s="106"/>
      <c r="E258" s="134">
        <v>3000000</v>
      </c>
      <c r="F258" s="117">
        <f>D258+E258</f>
        <v>3000000</v>
      </c>
      <c r="G258" s="106">
        <v>500000</v>
      </c>
      <c r="H258" s="134">
        <v>1500000</v>
      </c>
      <c r="I258" s="117">
        <f>G258+H258</f>
        <v>2000000</v>
      </c>
    </row>
    <row r="259" spans="1:9">
      <c r="A259" s="108" t="s">
        <v>101</v>
      </c>
      <c r="B259" s="109"/>
      <c r="C259" s="109"/>
      <c r="D259" s="110">
        <f>SUM(D257:D258)</f>
        <v>0</v>
      </c>
      <c r="E259" s="110">
        <f>SUM(E257:E258)</f>
        <v>3000000</v>
      </c>
      <c r="F259" s="110">
        <f>SUM(D259:E259)</f>
        <v>3000000</v>
      </c>
      <c r="G259" s="110">
        <f>SUM(G257:G258)</f>
        <v>500000</v>
      </c>
      <c r="H259" s="110">
        <f>SUM(H257:H258)</f>
        <v>1500000</v>
      </c>
      <c r="I259" s="110">
        <f>SUM(G259:H259)</f>
        <v>2000000</v>
      </c>
    </row>
    <row r="260" spans="1:9">
      <c r="A260" s="108" t="s">
        <v>230</v>
      </c>
      <c r="B260" s="109"/>
      <c r="C260" s="109"/>
      <c r="D260" s="109"/>
      <c r="E260" s="109"/>
      <c r="F260" s="109"/>
      <c r="G260" s="109"/>
      <c r="H260" s="109"/>
      <c r="I260" s="113"/>
    </row>
    <row r="261" spans="1:9" s="189" customFormat="1">
      <c r="A261" s="186">
        <v>163</v>
      </c>
      <c r="B261" s="186">
        <v>1</v>
      </c>
      <c r="C261" s="228" t="s">
        <v>231</v>
      </c>
      <c r="D261" s="187"/>
      <c r="E261" s="187"/>
      <c r="F261" s="188">
        <f>SUM(D261:E261)</f>
        <v>0</v>
      </c>
      <c r="G261" s="187"/>
      <c r="H261" s="187"/>
      <c r="I261" s="188">
        <f>SUM(G261:H261)</f>
        <v>0</v>
      </c>
    </row>
    <row r="262" spans="1:9" s="189" customFormat="1">
      <c r="A262" s="186">
        <v>164</v>
      </c>
      <c r="B262" s="186">
        <v>2</v>
      </c>
      <c r="C262" s="228" t="s">
        <v>232</v>
      </c>
      <c r="D262" s="187">
        <v>5000000</v>
      </c>
      <c r="E262" s="187">
        <f>1617500+491000</f>
        <v>2108500</v>
      </c>
      <c r="F262" s="188">
        <f t="shared" ref="F262:F275" si="16">SUM(D262:E262)</f>
        <v>7108500</v>
      </c>
      <c r="G262" s="187">
        <f>30000000+21700000</f>
        <v>51700000</v>
      </c>
      <c r="H262" s="187">
        <v>482500</v>
      </c>
      <c r="I262" s="188">
        <f t="shared" ref="I262:I267" si="17">SUM(G262:H262)</f>
        <v>52182500</v>
      </c>
    </row>
    <row r="263" spans="1:9" s="189" customFormat="1">
      <c r="A263" s="186">
        <v>165</v>
      </c>
      <c r="B263" s="186">
        <v>3</v>
      </c>
      <c r="C263" s="229" t="s">
        <v>307</v>
      </c>
      <c r="D263" s="187"/>
      <c r="E263" s="187"/>
      <c r="F263" s="188">
        <f t="shared" si="16"/>
        <v>0</v>
      </c>
      <c r="G263" s="187"/>
      <c r="H263" s="187"/>
      <c r="I263" s="188">
        <f t="shared" si="17"/>
        <v>0</v>
      </c>
    </row>
    <row r="264" spans="1:9" s="189" customFormat="1">
      <c r="A264" s="186">
        <v>166</v>
      </c>
      <c r="B264" s="186">
        <v>4</v>
      </c>
      <c r="C264" s="135" t="s">
        <v>566</v>
      </c>
      <c r="D264" s="187">
        <f>100000+200000+200000</f>
        <v>500000</v>
      </c>
      <c r="E264" s="187">
        <f>200000+100000</f>
        <v>300000</v>
      </c>
      <c r="F264" s="188">
        <f t="shared" si="16"/>
        <v>800000</v>
      </c>
      <c r="G264" s="187">
        <f>200000+150000</f>
        <v>350000</v>
      </c>
      <c r="H264" s="187">
        <v>200000</v>
      </c>
      <c r="I264" s="188">
        <f t="shared" si="17"/>
        <v>550000</v>
      </c>
    </row>
    <row r="265" spans="1:9" s="189" customFormat="1">
      <c r="A265" s="186">
        <v>167</v>
      </c>
      <c r="B265" s="186">
        <v>5</v>
      </c>
      <c r="C265" s="135" t="s">
        <v>567</v>
      </c>
      <c r="D265" s="187">
        <f>615000+400000</f>
        <v>1015000</v>
      </c>
      <c r="E265" s="187">
        <f>100000+100000</f>
        <v>200000</v>
      </c>
      <c r="F265" s="188">
        <f t="shared" si="16"/>
        <v>1215000</v>
      </c>
      <c r="G265" s="187">
        <f>100000+400000+30000</f>
        <v>530000</v>
      </c>
      <c r="H265" s="187"/>
      <c r="I265" s="188">
        <f t="shared" si="17"/>
        <v>530000</v>
      </c>
    </row>
    <row r="266" spans="1:9" s="189" customFormat="1">
      <c r="A266" s="186">
        <v>168</v>
      </c>
      <c r="B266" s="186">
        <v>6</v>
      </c>
      <c r="C266" s="135" t="s">
        <v>234</v>
      </c>
      <c r="D266" s="187">
        <v>120000</v>
      </c>
      <c r="E266" s="187"/>
      <c r="F266" s="188">
        <f t="shared" si="16"/>
        <v>120000</v>
      </c>
      <c r="G266" s="187">
        <v>120000</v>
      </c>
      <c r="H266" s="187"/>
      <c r="I266" s="188">
        <f t="shared" si="17"/>
        <v>120000</v>
      </c>
    </row>
    <row r="267" spans="1:9" s="189" customFormat="1">
      <c r="A267" s="186">
        <v>169</v>
      </c>
      <c r="B267" s="186">
        <v>7</v>
      </c>
      <c r="C267" s="135" t="s">
        <v>430</v>
      </c>
      <c r="D267" s="187"/>
      <c r="E267" s="187"/>
      <c r="F267" s="188">
        <f t="shared" si="16"/>
        <v>0</v>
      </c>
      <c r="G267" s="323">
        <v>135000</v>
      </c>
      <c r="H267" s="187"/>
      <c r="I267" s="188">
        <f t="shared" si="17"/>
        <v>135000</v>
      </c>
    </row>
    <row r="268" spans="1:9" s="189" customFormat="1">
      <c r="A268" s="186">
        <v>170</v>
      </c>
      <c r="B268" s="186">
        <v>8</v>
      </c>
      <c r="C268" s="135" t="s">
        <v>432</v>
      </c>
      <c r="D268" s="187"/>
      <c r="E268" s="187"/>
      <c r="F268" s="188">
        <f>SUM(D268:E268)</f>
        <v>0</v>
      </c>
      <c r="G268" s="187"/>
      <c r="H268" s="187"/>
      <c r="I268" s="188">
        <f t="shared" ref="I268:I289" si="18">SUM(G268:H268)</f>
        <v>0</v>
      </c>
    </row>
    <row r="269" spans="1:9" s="189" customFormat="1">
      <c r="A269" s="186">
        <v>171</v>
      </c>
      <c r="B269" s="186">
        <v>9</v>
      </c>
      <c r="C269" s="135" t="s">
        <v>238</v>
      </c>
      <c r="D269" s="187"/>
      <c r="E269" s="187"/>
      <c r="F269" s="188">
        <f t="shared" si="16"/>
        <v>0</v>
      </c>
      <c r="G269" s="187">
        <v>3050000</v>
      </c>
      <c r="H269" s="187"/>
      <c r="I269" s="188">
        <f t="shared" si="18"/>
        <v>3050000</v>
      </c>
    </row>
    <row r="270" spans="1:9" s="189" customFormat="1">
      <c r="A270" s="186">
        <v>172</v>
      </c>
      <c r="B270" s="186">
        <v>10</v>
      </c>
      <c r="C270" s="135" t="s">
        <v>442</v>
      </c>
      <c r="D270" s="187"/>
      <c r="E270" s="187"/>
      <c r="F270" s="188">
        <f t="shared" si="16"/>
        <v>0</v>
      </c>
      <c r="G270" s="187"/>
      <c r="H270" s="187"/>
      <c r="I270" s="188">
        <f t="shared" si="18"/>
        <v>0</v>
      </c>
    </row>
    <row r="271" spans="1:9" s="189" customFormat="1">
      <c r="A271" s="186">
        <v>173</v>
      </c>
      <c r="B271" s="186">
        <v>11</v>
      </c>
      <c r="C271" s="135" t="s">
        <v>236</v>
      </c>
      <c r="D271" s="187"/>
      <c r="E271" s="187"/>
      <c r="F271" s="188">
        <f>SUM(D271:E271)</f>
        <v>0</v>
      </c>
      <c r="G271" s="187"/>
      <c r="H271" s="187"/>
      <c r="I271" s="188">
        <f t="shared" si="18"/>
        <v>0</v>
      </c>
    </row>
    <row r="272" spans="1:9" s="189" customFormat="1">
      <c r="A272" s="186">
        <v>174</v>
      </c>
      <c r="B272" s="186">
        <v>12</v>
      </c>
      <c r="C272" s="135" t="s">
        <v>523</v>
      </c>
      <c r="D272" s="187"/>
      <c r="E272" s="187"/>
      <c r="F272" s="188">
        <f>SUM(D272:E272)</f>
        <v>0</v>
      </c>
      <c r="G272" s="187">
        <v>850000</v>
      </c>
      <c r="H272" s="187"/>
      <c r="I272" s="188">
        <f t="shared" si="18"/>
        <v>850000</v>
      </c>
    </row>
    <row r="273" spans="1:9" s="189" customFormat="1">
      <c r="A273" s="186">
        <v>175</v>
      </c>
      <c r="B273" s="186">
        <v>13</v>
      </c>
      <c r="C273" s="135" t="s">
        <v>524</v>
      </c>
      <c r="D273" s="187"/>
      <c r="E273" s="187"/>
      <c r="F273" s="188">
        <f>SUM(D273:E273)</f>
        <v>0</v>
      </c>
      <c r="G273" s="187"/>
      <c r="H273" s="187"/>
      <c r="I273" s="188">
        <f t="shared" si="18"/>
        <v>0</v>
      </c>
    </row>
    <row r="274" spans="1:9" s="189" customFormat="1">
      <c r="A274" s="186">
        <v>176</v>
      </c>
      <c r="B274" s="186">
        <v>14</v>
      </c>
      <c r="C274" s="135" t="s">
        <v>525</v>
      </c>
      <c r="D274" s="187"/>
      <c r="E274" s="187"/>
      <c r="F274" s="188">
        <f>SUM(D274:E274)</f>
        <v>0</v>
      </c>
      <c r="G274" s="187"/>
      <c r="H274" s="187"/>
      <c r="I274" s="188">
        <f t="shared" si="18"/>
        <v>0</v>
      </c>
    </row>
    <row r="275" spans="1:9" s="189" customFormat="1">
      <c r="A275" s="186">
        <v>177</v>
      </c>
      <c r="B275" s="186">
        <v>15</v>
      </c>
      <c r="C275" s="135" t="s">
        <v>282</v>
      </c>
      <c r="D275" s="187"/>
      <c r="E275" s="187"/>
      <c r="F275" s="188">
        <f t="shared" si="16"/>
        <v>0</v>
      </c>
      <c r="G275" s="187"/>
      <c r="H275" s="187"/>
      <c r="I275" s="188">
        <f t="shared" si="18"/>
        <v>0</v>
      </c>
    </row>
    <row r="276" spans="1:9" s="189" customFormat="1">
      <c r="A276" s="186">
        <v>178</v>
      </c>
      <c r="B276" s="186">
        <v>16</v>
      </c>
      <c r="C276" s="135" t="s">
        <v>283</v>
      </c>
      <c r="D276" s="187">
        <v>350000</v>
      </c>
      <c r="E276" s="187"/>
      <c r="F276" s="188">
        <f>SUM(D276:E276)</f>
        <v>350000</v>
      </c>
      <c r="G276" s="187"/>
      <c r="H276" s="187"/>
      <c r="I276" s="188">
        <f t="shared" si="18"/>
        <v>0</v>
      </c>
    </row>
    <row r="277" spans="1:9" s="189" customFormat="1">
      <c r="A277" s="186">
        <v>179</v>
      </c>
      <c r="B277" s="186">
        <v>17</v>
      </c>
      <c r="C277" s="135" t="s">
        <v>235</v>
      </c>
      <c r="D277" s="187"/>
      <c r="E277" s="187"/>
      <c r="F277" s="188">
        <f t="shared" ref="F277:F288" si="19">SUM(D277:E277)</f>
        <v>0</v>
      </c>
      <c r="G277" s="187"/>
      <c r="H277" s="187"/>
      <c r="I277" s="188">
        <f t="shared" si="18"/>
        <v>0</v>
      </c>
    </row>
    <row r="278" spans="1:9" s="189" customFormat="1">
      <c r="A278" s="186">
        <v>180</v>
      </c>
      <c r="B278" s="186">
        <v>18</v>
      </c>
      <c r="C278" s="135" t="s">
        <v>568</v>
      </c>
      <c r="D278" s="187">
        <v>216000</v>
      </c>
      <c r="E278" s="187"/>
      <c r="F278" s="188">
        <f t="shared" si="19"/>
        <v>216000</v>
      </c>
      <c r="G278" s="187">
        <v>220000</v>
      </c>
      <c r="H278" s="187"/>
      <c r="I278" s="188">
        <f t="shared" si="18"/>
        <v>220000</v>
      </c>
    </row>
    <row r="279" spans="1:9" s="189" customFormat="1">
      <c r="A279" s="186">
        <v>181</v>
      </c>
      <c r="B279" s="186">
        <v>19</v>
      </c>
      <c r="C279" s="135" t="s">
        <v>569</v>
      </c>
      <c r="D279" s="187"/>
      <c r="E279" s="187"/>
      <c r="F279" s="188">
        <f t="shared" si="19"/>
        <v>0</v>
      </c>
      <c r="G279" s="187"/>
      <c r="H279" s="187"/>
      <c r="I279" s="188">
        <f t="shared" si="18"/>
        <v>0</v>
      </c>
    </row>
    <row r="280" spans="1:9" s="189" customFormat="1">
      <c r="A280" s="186">
        <v>182</v>
      </c>
      <c r="B280" s="186">
        <v>20</v>
      </c>
      <c r="C280" s="136" t="s">
        <v>252</v>
      </c>
      <c r="D280" s="187"/>
      <c r="E280" s="187"/>
      <c r="F280" s="188">
        <f t="shared" si="19"/>
        <v>0</v>
      </c>
      <c r="G280" s="187"/>
      <c r="H280" s="187"/>
      <c r="I280" s="188">
        <f t="shared" si="18"/>
        <v>0</v>
      </c>
    </row>
    <row r="281" spans="1:9" s="189" customFormat="1">
      <c r="A281" s="186">
        <v>183</v>
      </c>
      <c r="B281" s="186">
        <v>21</v>
      </c>
      <c r="C281" s="136" t="s">
        <v>609</v>
      </c>
      <c r="D281" s="323"/>
      <c r="E281" s="324"/>
      <c r="F281" s="188">
        <f t="shared" si="19"/>
        <v>0</v>
      </c>
      <c r="G281" s="323"/>
      <c r="H281" s="324"/>
      <c r="I281" s="188">
        <f t="shared" si="18"/>
        <v>0</v>
      </c>
    </row>
    <row r="282" spans="1:9" s="189" customFormat="1">
      <c r="A282" s="186">
        <v>184</v>
      </c>
      <c r="B282" s="186">
        <v>22</v>
      </c>
      <c r="C282" s="325" t="s">
        <v>649</v>
      </c>
      <c r="D282" s="323"/>
      <c r="E282" s="187"/>
      <c r="F282" s="188">
        <f t="shared" si="19"/>
        <v>0</v>
      </c>
      <c r="G282" s="323"/>
      <c r="H282" s="187"/>
      <c r="I282" s="188">
        <f t="shared" si="18"/>
        <v>0</v>
      </c>
    </row>
    <row r="283" spans="1:9" s="189" customFormat="1">
      <c r="A283" s="186">
        <v>185</v>
      </c>
      <c r="B283" s="186">
        <v>23</v>
      </c>
      <c r="C283" s="325" t="s">
        <v>610</v>
      </c>
      <c r="D283" s="324"/>
      <c r="F283" s="188">
        <f>SUM(D283:E283)</f>
        <v>0</v>
      </c>
      <c r="G283" s="324"/>
      <c r="I283" s="188">
        <f t="shared" si="18"/>
        <v>0</v>
      </c>
    </row>
    <row r="284" spans="1:9" s="189" customFormat="1">
      <c r="A284" s="186">
        <v>186</v>
      </c>
      <c r="B284" s="186">
        <v>24</v>
      </c>
      <c r="C284" s="325" t="s">
        <v>611</v>
      </c>
      <c r="D284" s="323"/>
      <c r="E284" s="324"/>
      <c r="F284" s="188">
        <f t="shared" si="19"/>
        <v>0</v>
      </c>
      <c r="G284" s="323"/>
      <c r="H284" s="324"/>
      <c r="I284" s="188">
        <f t="shared" si="18"/>
        <v>0</v>
      </c>
    </row>
    <row r="285" spans="1:9" s="189" customFormat="1">
      <c r="A285" s="186">
        <v>187</v>
      </c>
      <c r="B285" s="186">
        <v>25</v>
      </c>
      <c r="C285" s="325" t="s">
        <v>650</v>
      </c>
      <c r="D285" s="323"/>
      <c r="E285" s="324">
        <v>50000</v>
      </c>
      <c r="F285" s="188">
        <f t="shared" si="19"/>
        <v>50000</v>
      </c>
      <c r="G285" s="323"/>
      <c r="H285" s="324"/>
      <c r="I285" s="188">
        <f t="shared" si="18"/>
        <v>0</v>
      </c>
    </row>
    <row r="286" spans="1:9" s="189" customFormat="1">
      <c r="A286" s="186">
        <v>188</v>
      </c>
      <c r="B286" s="186">
        <v>26</v>
      </c>
      <c r="C286" s="325" t="s">
        <v>651</v>
      </c>
      <c r="D286" s="323">
        <v>276000</v>
      </c>
      <c r="E286" s="324"/>
      <c r="F286" s="188">
        <f t="shared" si="19"/>
        <v>276000</v>
      </c>
      <c r="G286" s="323"/>
      <c r="H286" s="324"/>
      <c r="I286" s="188">
        <f t="shared" si="18"/>
        <v>0</v>
      </c>
    </row>
    <row r="287" spans="1:9" s="189" customFormat="1">
      <c r="A287" s="186">
        <v>189</v>
      </c>
      <c r="B287" s="186">
        <v>27</v>
      </c>
      <c r="C287" s="325" t="s">
        <v>652</v>
      </c>
      <c r="D287" s="323"/>
      <c r="E287" s="324">
        <v>25000</v>
      </c>
      <c r="F287" s="188">
        <f t="shared" si="19"/>
        <v>25000</v>
      </c>
      <c r="G287" s="323"/>
      <c r="H287" s="324"/>
      <c r="I287" s="188">
        <f t="shared" si="18"/>
        <v>0</v>
      </c>
    </row>
    <row r="288" spans="1:9" s="189" customFormat="1">
      <c r="A288" s="186">
        <v>190</v>
      </c>
      <c r="B288" s="186">
        <v>28</v>
      </c>
      <c r="C288" s="325" t="s">
        <v>705</v>
      </c>
      <c r="D288" s="323"/>
      <c r="E288" s="324"/>
      <c r="F288" s="188">
        <f t="shared" si="19"/>
        <v>0</v>
      </c>
      <c r="G288" s="323">
        <v>5000000</v>
      </c>
      <c r="H288" s="324"/>
      <c r="I288" s="188">
        <f t="shared" si="18"/>
        <v>5000000</v>
      </c>
    </row>
    <row r="289" spans="1:9" ht="15.75" thickBot="1">
      <c r="A289" s="137" t="s">
        <v>101</v>
      </c>
      <c r="B289" s="138"/>
      <c r="C289" s="139"/>
      <c r="D289" s="140">
        <f>SUM(D261:D288)</f>
        <v>7477000</v>
      </c>
      <c r="E289" s="140">
        <f>SUM(E261:E288)</f>
        <v>2683500</v>
      </c>
      <c r="F289" s="140">
        <f>SUM(D289:E289)</f>
        <v>10160500</v>
      </c>
      <c r="G289" s="140">
        <f>SUM(G261:G288)</f>
        <v>61955000</v>
      </c>
      <c r="H289" s="140">
        <f>SUM(H262:H288)</f>
        <v>682500</v>
      </c>
      <c r="I289" s="140">
        <f t="shared" si="18"/>
        <v>62637500</v>
      </c>
    </row>
    <row r="290" spans="1:9" ht="16.5" thickTop="1" thickBot="1">
      <c r="A290" s="141" t="s">
        <v>253</v>
      </c>
      <c r="B290" s="142"/>
      <c r="C290" s="142"/>
      <c r="D290" s="143">
        <f>D73+D76+D88+D104+D115+D121+D124+D127+D149+D171+D196+D252+D255+D259+D289</f>
        <v>126642830</v>
      </c>
      <c r="E290" s="143">
        <f>E73+E76+E88+E104+E115+E121+E124+E127+E149+E171+E196+E252+E255+E259+E289</f>
        <v>53703734</v>
      </c>
      <c r="F290" s="143">
        <f>F73+F76+F88+F104+F115+F121+F124+F127+F149+F171+F196+F252+F255+F259+F289</f>
        <v>180346564</v>
      </c>
      <c r="G290" s="143">
        <f>G73+G76+G88+G104+G115+G121+G124+G127+G149+G171+G196+G252+G255+G259+G289</f>
        <v>187108448</v>
      </c>
      <c r="H290" s="143">
        <f>H73+H76+H88+H104+H115+H121+H124+H127+H149+H171+H196+H252+H255+H259+H289</f>
        <v>50990784</v>
      </c>
      <c r="I290" s="143">
        <f>SUM(G290:H290)</f>
        <v>238099232</v>
      </c>
    </row>
    <row r="291" spans="1:9" ht="15.75" thickTop="1">
      <c r="A291" s="303"/>
      <c r="B291" s="303"/>
      <c r="C291" s="303"/>
      <c r="D291" s="304"/>
      <c r="E291" s="304"/>
      <c r="F291" s="304"/>
      <c r="G291" s="304"/>
      <c r="H291" s="304"/>
      <c r="I291" s="304"/>
    </row>
    <row r="292" spans="1:9">
      <c r="A292" s="303"/>
      <c r="B292" s="303"/>
      <c r="C292" s="303"/>
      <c r="D292" s="304"/>
      <c r="E292" s="304"/>
      <c r="F292" s="304"/>
      <c r="G292" s="304"/>
      <c r="H292" s="304"/>
      <c r="I292" s="304"/>
    </row>
    <row r="293" spans="1:9">
      <c r="A293" s="146" t="s">
        <v>254</v>
      </c>
      <c r="B293" s="146"/>
      <c r="C293" s="146"/>
      <c r="D293" s="146"/>
      <c r="E293" s="146"/>
      <c r="F293" s="146"/>
      <c r="G293" s="146"/>
      <c r="H293" s="146"/>
      <c r="I293" s="146"/>
    </row>
    <row r="294" spans="1:9">
      <c r="A294" s="144"/>
      <c r="B294" s="147" t="s">
        <v>706</v>
      </c>
      <c r="C294" s="147"/>
      <c r="D294" s="147"/>
      <c r="E294" s="147"/>
      <c r="F294" s="147"/>
      <c r="G294" s="147"/>
      <c r="H294" s="147"/>
      <c r="I294" s="147"/>
    </row>
    <row r="295" spans="1:9">
      <c r="A295" s="148" t="s">
        <v>256</v>
      </c>
      <c r="B295" s="149" t="s">
        <v>23</v>
      </c>
      <c r="C295" s="150" t="s">
        <v>24</v>
      </c>
      <c r="D295" s="151"/>
      <c r="E295" s="151"/>
      <c r="F295" s="151"/>
      <c r="G295" s="151"/>
      <c r="H295" s="152"/>
      <c r="I295" s="153" t="s">
        <v>101</v>
      </c>
    </row>
    <row r="296" spans="1:9">
      <c r="A296" s="144"/>
      <c r="B296" s="154"/>
      <c r="C296" s="155"/>
      <c r="D296" s="156"/>
      <c r="E296" s="156"/>
      <c r="F296" s="156"/>
      <c r="G296" s="156"/>
      <c r="H296" s="157"/>
      <c r="I296" s="153" t="s">
        <v>257</v>
      </c>
    </row>
    <row r="297" spans="1:9">
      <c r="A297" s="144"/>
      <c r="B297" s="158"/>
      <c r="C297" s="159" t="s">
        <v>258</v>
      </c>
      <c r="D297" s="160"/>
      <c r="E297" s="160"/>
      <c r="F297" s="160"/>
      <c r="G297" s="160"/>
      <c r="H297" s="161"/>
      <c r="I297" s="162"/>
    </row>
    <row r="298" spans="1:9">
      <c r="A298" s="144"/>
      <c r="B298" s="163">
        <v>1</v>
      </c>
      <c r="C298" s="256" t="s">
        <v>707</v>
      </c>
      <c r="D298" s="175"/>
      <c r="E298" s="175"/>
      <c r="F298" s="175"/>
      <c r="G298" s="175"/>
      <c r="H298" s="239"/>
      <c r="I298" s="257">
        <v>5000000</v>
      </c>
    </row>
    <row r="299" spans="1:9">
      <c r="A299" s="144"/>
      <c r="B299" s="163">
        <v>2</v>
      </c>
      <c r="C299" s="256" t="s">
        <v>708</v>
      </c>
      <c r="D299" s="175"/>
      <c r="E299" s="175"/>
      <c r="F299" s="175"/>
      <c r="G299" s="175"/>
      <c r="H299" s="239"/>
      <c r="I299" s="257">
        <f>30000000</f>
        <v>30000000</v>
      </c>
    </row>
    <row r="300" spans="1:9">
      <c r="A300" s="144"/>
      <c r="B300" s="163">
        <v>3</v>
      </c>
      <c r="C300" s="256" t="s">
        <v>709</v>
      </c>
      <c r="D300" s="175"/>
      <c r="E300" s="175"/>
      <c r="F300" s="175"/>
      <c r="G300" s="175"/>
      <c r="H300" s="239"/>
      <c r="I300" s="257">
        <f>15000000</f>
        <v>15000000</v>
      </c>
    </row>
    <row r="301" spans="1:9">
      <c r="A301" s="144"/>
      <c r="B301" s="163">
        <v>4</v>
      </c>
      <c r="C301" s="256" t="s">
        <v>710</v>
      </c>
      <c r="D301" s="175"/>
      <c r="E301" s="175"/>
      <c r="F301" s="175"/>
      <c r="G301" s="175"/>
      <c r="H301" s="239"/>
      <c r="I301" s="257">
        <f>45000000</f>
        <v>45000000</v>
      </c>
    </row>
    <row r="302" spans="1:9">
      <c r="A302" s="144"/>
      <c r="B302" s="163">
        <v>5</v>
      </c>
      <c r="C302" s="256" t="s">
        <v>711</v>
      </c>
      <c r="D302" s="175"/>
      <c r="E302" s="175"/>
      <c r="F302" s="175"/>
      <c r="G302" s="175"/>
      <c r="H302" s="239"/>
      <c r="I302" s="257">
        <f>41700000</f>
        <v>41700000</v>
      </c>
    </row>
    <row r="303" spans="1:9">
      <c r="A303" s="144"/>
      <c r="B303" s="163">
        <v>6</v>
      </c>
      <c r="C303" s="256" t="s">
        <v>712</v>
      </c>
      <c r="D303" s="175"/>
      <c r="E303" s="175"/>
      <c r="F303" s="175"/>
      <c r="G303" s="175"/>
      <c r="H303" s="239"/>
      <c r="I303" s="257">
        <f>40000000</f>
        <v>40000000</v>
      </c>
    </row>
    <row r="304" spans="1:9">
      <c r="A304" s="144"/>
      <c r="B304" s="163">
        <v>7</v>
      </c>
      <c r="C304" s="256" t="s">
        <v>713</v>
      </c>
      <c r="D304" s="175"/>
      <c r="E304" s="175"/>
      <c r="F304" s="175"/>
      <c r="G304" s="175"/>
      <c r="H304" s="239"/>
      <c r="I304" s="257">
        <f>20000000</f>
        <v>20000000</v>
      </c>
    </row>
    <row r="305" spans="1:9">
      <c r="A305" s="144"/>
      <c r="B305" s="163">
        <v>8</v>
      </c>
      <c r="C305" s="256" t="s">
        <v>714</v>
      </c>
      <c r="D305" s="175"/>
      <c r="E305" s="175"/>
      <c r="F305" s="175"/>
      <c r="G305" s="175"/>
      <c r="H305" s="239"/>
      <c r="I305" s="257">
        <f>45000000</f>
        <v>45000000</v>
      </c>
    </row>
    <row r="306" spans="1:9">
      <c r="A306" s="144"/>
      <c r="B306" s="163">
        <v>9</v>
      </c>
      <c r="C306" s="256" t="s">
        <v>715</v>
      </c>
      <c r="D306" s="175"/>
      <c r="E306" s="175"/>
      <c r="F306" s="175"/>
      <c r="G306" s="175"/>
      <c r="H306" s="239"/>
      <c r="I306" s="257">
        <f>50400000</f>
        <v>50400000</v>
      </c>
    </row>
    <row r="307" spans="1:9">
      <c r="A307" s="144"/>
      <c r="B307" s="163">
        <v>10</v>
      </c>
      <c r="C307" s="256" t="s">
        <v>716</v>
      </c>
      <c r="D307" s="175"/>
      <c r="E307" s="175"/>
      <c r="F307" s="175"/>
      <c r="G307" s="175"/>
      <c r="H307" s="239"/>
      <c r="I307" s="257">
        <f>22200000</f>
        <v>22200000</v>
      </c>
    </row>
    <row r="308" spans="1:9">
      <c r="A308" s="144"/>
      <c r="B308" s="163">
        <v>11</v>
      </c>
      <c r="C308" s="256" t="s">
        <v>717</v>
      </c>
      <c r="D308" s="175"/>
      <c r="E308" s="175"/>
      <c r="F308" s="175"/>
      <c r="G308" s="175"/>
      <c r="H308" s="239"/>
      <c r="I308" s="257">
        <f>26400000</f>
        <v>26400000</v>
      </c>
    </row>
    <row r="309" spans="1:9">
      <c r="A309" s="144"/>
      <c r="B309" s="163">
        <v>12</v>
      </c>
      <c r="C309" s="256" t="s">
        <v>578</v>
      </c>
      <c r="D309" s="175"/>
      <c r="E309" s="175"/>
      <c r="F309" s="175"/>
      <c r="G309" s="175"/>
      <c r="H309" s="239"/>
      <c r="I309" s="257">
        <f>250000</f>
        <v>250000</v>
      </c>
    </row>
    <row r="310" spans="1:9">
      <c r="A310" s="144"/>
      <c r="B310" s="321">
        <v>13</v>
      </c>
      <c r="C310" s="314" t="s">
        <v>694</v>
      </c>
      <c r="D310" s="175"/>
      <c r="E310" s="175"/>
      <c r="F310" s="175"/>
      <c r="G310" s="175"/>
      <c r="H310" s="239"/>
      <c r="I310" s="257">
        <f>30000000+21700000</f>
        <v>51700000</v>
      </c>
    </row>
    <row r="311" spans="1:9">
      <c r="A311" s="168"/>
      <c r="B311" s="169" t="s">
        <v>58</v>
      </c>
      <c r="C311" s="170"/>
      <c r="D311" s="170"/>
      <c r="E311" s="170"/>
      <c r="F311" s="170"/>
      <c r="G311" s="170"/>
      <c r="H311" s="171"/>
      <c r="I311" s="172">
        <f>SUM(I298:I310)</f>
        <v>392650000</v>
      </c>
    </row>
    <row r="312" spans="1:9">
      <c r="A312" s="145"/>
      <c r="B312" s="145"/>
      <c r="C312" s="145"/>
      <c r="D312" s="145"/>
      <c r="E312" s="145"/>
      <c r="F312" s="145"/>
      <c r="G312" s="145"/>
      <c r="H312" s="145"/>
      <c r="I312" s="145"/>
    </row>
    <row r="313" spans="1:9">
      <c r="A313" s="148" t="s">
        <v>260</v>
      </c>
      <c r="B313" s="149" t="s">
        <v>23</v>
      </c>
      <c r="C313" s="150" t="s">
        <v>24</v>
      </c>
      <c r="D313" s="151"/>
      <c r="E313" s="151"/>
      <c r="F313" s="151"/>
      <c r="G313" s="151"/>
      <c r="H313" s="152"/>
      <c r="I313" s="153" t="s">
        <v>101</v>
      </c>
    </row>
    <row r="314" spans="1:9">
      <c r="A314" s="145"/>
      <c r="B314" s="154"/>
      <c r="C314" s="155"/>
      <c r="D314" s="156"/>
      <c r="E314" s="156"/>
      <c r="F314" s="156"/>
      <c r="G314" s="156"/>
      <c r="H314" s="157"/>
      <c r="I314" s="153" t="s">
        <v>257</v>
      </c>
    </row>
    <row r="315" spans="1:9">
      <c r="A315" s="145"/>
      <c r="B315" s="158"/>
      <c r="C315" s="159" t="s">
        <v>261</v>
      </c>
      <c r="D315" s="160"/>
      <c r="E315" s="160"/>
      <c r="F315" s="160"/>
      <c r="G315" s="160"/>
      <c r="H315" s="161"/>
      <c r="I315" s="173"/>
    </row>
    <row r="316" spans="1:9">
      <c r="A316" s="145"/>
      <c r="B316" s="163">
        <v>1</v>
      </c>
      <c r="C316" s="176" t="s">
        <v>503</v>
      </c>
      <c r="D316" s="175"/>
      <c r="E316" s="175"/>
      <c r="F316" s="175"/>
      <c r="G316" s="175"/>
      <c r="H316" s="175"/>
      <c r="I316" s="173"/>
    </row>
    <row r="317" spans="1:9">
      <c r="A317" s="145"/>
      <c r="B317" s="163"/>
      <c r="C317" s="241" t="s">
        <v>579</v>
      </c>
      <c r="D317" s="177"/>
      <c r="E317" s="177"/>
      <c r="F317" s="177"/>
      <c r="G317" s="177"/>
      <c r="H317" s="177"/>
      <c r="I317" s="258">
        <f>4960000</f>
        <v>4960000</v>
      </c>
    </row>
    <row r="318" spans="1:9">
      <c r="A318" s="145"/>
      <c r="B318" s="158"/>
      <c r="C318" s="241" t="s">
        <v>580</v>
      </c>
      <c r="D318" s="177"/>
      <c r="E318" s="177"/>
      <c r="F318" s="177"/>
      <c r="G318" s="177"/>
      <c r="H318" s="177"/>
      <c r="I318" s="258">
        <f>114400</f>
        <v>114400</v>
      </c>
    </row>
    <row r="319" spans="1:9">
      <c r="A319" s="145"/>
      <c r="B319" s="163"/>
      <c r="C319" s="241" t="s">
        <v>581</v>
      </c>
      <c r="D319" s="177"/>
      <c r="E319" s="177"/>
      <c r="F319" s="177"/>
      <c r="G319" s="177"/>
      <c r="H319" s="177"/>
      <c r="I319" s="258">
        <f>259800</f>
        <v>259800</v>
      </c>
    </row>
    <row r="320" spans="1:9">
      <c r="A320" s="145"/>
      <c r="B320" s="158"/>
      <c r="C320" s="241" t="s">
        <v>582</v>
      </c>
      <c r="D320" s="177"/>
      <c r="E320" s="177"/>
      <c r="F320" s="177"/>
      <c r="G320" s="177"/>
      <c r="H320" s="177"/>
      <c r="I320" s="258">
        <f>1312174</f>
        <v>1312174</v>
      </c>
    </row>
    <row r="321" spans="1:9">
      <c r="A321" s="145"/>
      <c r="B321" s="158"/>
      <c r="C321" s="241" t="s">
        <v>623</v>
      </c>
      <c r="D321" s="177"/>
      <c r="E321" s="177"/>
      <c r="F321" s="177"/>
      <c r="G321" s="177"/>
      <c r="H321" s="177"/>
      <c r="I321" s="258">
        <f>1535000</f>
        <v>1535000</v>
      </c>
    </row>
    <row r="322" spans="1:9">
      <c r="A322" s="145"/>
      <c r="B322" s="158">
        <v>2</v>
      </c>
      <c r="C322" s="241" t="s">
        <v>718</v>
      </c>
      <c r="D322" s="177"/>
      <c r="E322" s="177"/>
      <c r="F322" s="177"/>
      <c r="G322" s="177"/>
      <c r="H322" s="177"/>
      <c r="I322" s="258"/>
    </row>
    <row r="323" spans="1:9">
      <c r="A323" s="145"/>
      <c r="B323" s="163"/>
      <c r="C323" s="241" t="s">
        <v>719</v>
      </c>
      <c r="D323" s="177"/>
      <c r="E323" s="177"/>
      <c r="F323" s="177"/>
      <c r="G323" s="177"/>
      <c r="H323" s="177"/>
      <c r="I323" s="258">
        <f>922000</f>
        <v>922000</v>
      </c>
    </row>
    <row r="324" spans="1:9">
      <c r="A324" s="145"/>
      <c r="B324" s="163">
        <v>3</v>
      </c>
      <c r="C324" s="259" t="s">
        <v>628</v>
      </c>
      <c r="D324" s="260"/>
      <c r="E324" s="260"/>
      <c r="F324" s="260"/>
      <c r="G324" s="260"/>
      <c r="H324" s="260"/>
      <c r="I324" s="258"/>
    </row>
    <row r="325" spans="1:9">
      <c r="A325" s="145"/>
      <c r="B325" s="163"/>
      <c r="C325" s="259" t="s">
        <v>720</v>
      </c>
      <c r="D325" s="260"/>
      <c r="E325" s="260"/>
      <c r="F325" s="260"/>
      <c r="G325" s="260"/>
      <c r="H325" s="260"/>
      <c r="I325" s="258">
        <f>5690000</f>
        <v>5690000</v>
      </c>
    </row>
    <row r="326" spans="1:9">
      <c r="A326" s="145"/>
      <c r="B326" s="163"/>
      <c r="C326" s="259" t="s">
        <v>721</v>
      </c>
      <c r="D326" s="260"/>
      <c r="E326" s="260"/>
      <c r="F326" s="260"/>
      <c r="G326" s="260"/>
      <c r="H326" s="260"/>
      <c r="I326" s="258">
        <f>250000</f>
        <v>250000</v>
      </c>
    </row>
    <row r="327" spans="1:9">
      <c r="A327" s="145"/>
      <c r="B327" s="163"/>
      <c r="C327" s="259" t="s">
        <v>722</v>
      </c>
      <c r="D327" s="260"/>
      <c r="E327" s="260"/>
      <c r="F327" s="260"/>
      <c r="G327" s="260"/>
      <c r="H327" s="260"/>
      <c r="I327" s="258"/>
    </row>
    <row r="328" spans="1:9">
      <c r="A328" s="145"/>
      <c r="B328" s="163"/>
      <c r="C328" s="259" t="s">
        <v>723</v>
      </c>
      <c r="D328" s="260"/>
      <c r="E328" s="260"/>
      <c r="F328" s="260"/>
      <c r="G328" s="260"/>
      <c r="H328" s="260"/>
      <c r="I328" s="258">
        <f>5570000</f>
        <v>5570000</v>
      </c>
    </row>
    <row r="329" spans="1:9">
      <c r="A329" s="145"/>
      <c r="B329" s="163"/>
      <c r="C329" s="259" t="s">
        <v>724</v>
      </c>
      <c r="D329" s="260"/>
      <c r="E329" s="260"/>
      <c r="F329" s="260"/>
      <c r="G329" s="260"/>
      <c r="H329" s="260"/>
      <c r="I329" s="258">
        <f>3800000</f>
        <v>3800000</v>
      </c>
    </row>
    <row r="330" spans="1:9">
      <c r="A330" s="145"/>
      <c r="B330" s="163">
        <v>4</v>
      </c>
      <c r="C330" s="259" t="s">
        <v>508</v>
      </c>
      <c r="D330" s="260"/>
      <c r="E330" s="260"/>
      <c r="F330" s="260"/>
      <c r="G330" s="260"/>
      <c r="H330" s="260"/>
      <c r="I330" s="258">
        <f>330000+25000</f>
        <v>355000</v>
      </c>
    </row>
    <row r="331" spans="1:9">
      <c r="A331" s="145"/>
      <c r="B331" s="163">
        <v>5</v>
      </c>
      <c r="C331" s="259" t="s">
        <v>694</v>
      </c>
      <c r="D331" s="260"/>
      <c r="E331" s="260"/>
      <c r="F331" s="260"/>
      <c r="G331" s="260"/>
      <c r="H331" s="260"/>
      <c r="I331" s="258">
        <f>482500</f>
        <v>482500</v>
      </c>
    </row>
    <row r="332" spans="1:9">
      <c r="A332" s="168"/>
      <c r="B332" s="178" t="s">
        <v>58</v>
      </c>
      <c r="C332" s="179"/>
      <c r="D332" s="179"/>
      <c r="E332" s="179"/>
      <c r="F332" s="179"/>
      <c r="G332" s="179"/>
      <c r="H332" s="179"/>
      <c r="I332" s="172">
        <f>SUM(I316:I331)</f>
        <v>25250874</v>
      </c>
    </row>
    <row r="333" spans="1:9">
      <c r="A333" s="144"/>
      <c r="B333" s="144"/>
      <c r="C333" s="144"/>
      <c r="D333" s="144"/>
      <c r="E333" s="144"/>
      <c r="F333" s="144"/>
      <c r="G333" s="144"/>
      <c r="H333" s="144"/>
      <c r="I333" s="144" t="s">
        <v>265</v>
      </c>
    </row>
    <row r="334" spans="1:9">
      <c r="A334" s="144"/>
      <c r="B334" s="144"/>
      <c r="C334" s="144"/>
      <c r="D334" s="180"/>
      <c r="G334" s="180" t="s">
        <v>725</v>
      </c>
      <c r="H334" s="180"/>
    </row>
    <row r="335" spans="1:9">
      <c r="A335" s="144"/>
      <c r="B335" s="144"/>
      <c r="C335" s="180" t="s">
        <v>42</v>
      </c>
      <c r="D335" s="181"/>
      <c r="G335" s="146" t="s">
        <v>560</v>
      </c>
      <c r="H335" s="146"/>
    </row>
    <row r="336" spans="1:9">
      <c r="A336" s="144"/>
      <c r="B336" s="144"/>
      <c r="C336" s="144"/>
      <c r="D336" s="182"/>
      <c r="G336" s="144"/>
      <c r="H336" s="144"/>
    </row>
    <row r="337" spans="1:8">
      <c r="A337" s="144"/>
      <c r="B337" s="183"/>
      <c r="C337" s="184" t="s">
        <v>344</v>
      </c>
      <c r="D337" s="184"/>
      <c r="E337" s="193"/>
      <c r="F337" s="193"/>
      <c r="G337" s="322" t="s">
        <v>344</v>
      </c>
      <c r="H337" s="322"/>
    </row>
    <row r="338" spans="1:8">
      <c r="A338" s="144"/>
      <c r="B338" s="183"/>
      <c r="C338" s="180" t="s">
        <v>268</v>
      </c>
      <c r="D338" s="144"/>
      <c r="G338" s="305" t="s">
        <v>596</v>
      </c>
      <c r="H338" s="305"/>
    </row>
  </sheetData>
  <mergeCells count="73">
    <mergeCell ref="G337:H337"/>
    <mergeCell ref="G338:H338"/>
    <mergeCell ref="B311:H311"/>
    <mergeCell ref="B313:B314"/>
    <mergeCell ref="C313:H314"/>
    <mergeCell ref="C315:H315"/>
    <mergeCell ref="B332:H332"/>
    <mergeCell ref="G335:H335"/>
    <mergeCell ref="A290:C290"/>
    <mergeCell ref="A293:I293"/>
    <mergeCell ref="B294:I294"/>
    <mergeCell ref="B295:B296"/>
    <mergeCell ref="C295:H296"/>
    <mergeCell ref="C297:H297"/>
    <mergeCell ref="A253:I253"/>
    <mergeCell ref="A255:C255"/>
    <mergeCell ref="A256:I256"/>
    <mergeCell ref="A259:C259"/>
    <mergeCell ref="A260:I260"/>
    <mergeCell ref="A289:C289"/>
    <mergeCell ref="A150:I150"/>
    <mergeCell ref="A171:C171"/>
    <mergeCell ref="A172:I172"/>
    <mergeCell ref="A196:C196"/>
    <mergeCell ref="A197:I197"/>
    <mergeCell ref="A252:C252"/>
    <mergeCell ref="A122:I122"/>
    <mergeCell ref="A124:C124"/>
    <mergeCell ref="A125:I125"/>
    <mergeCell ref="A127:C127"/>
    <mergeCell ref="A128:I128"/>
    <mergeCell ref="A149:C149"/>
    <mergeCell ref="A89:I89"/>
    <mergeCell ref="A104:C104"/>
    <mergeCell ref="A105:I105"/>
    <mergeCell ref="A115:C115"/>
    <mergeCell ref="A116:I116"/>
    <mergeCell ref="A121:C121"/>
    <mergeCell ref="A70:I70"/>
    <mergeCell ref="A73:C73"/>
    <mergeCell ref="A74:I74"/>
    <mergeCell ref="A76:C76"/>
    <mergeCell ref="A77:I77"/>
    <mergeCell ref="A88:C88"/>
    <mergeCell ref="A67:A69"/>
    <mergeCell ref="B67:C69"/>
    <mergeCell ref="D67:E67"/>
    <mergeCell ref="F67:F69"/>
    <mergeCell ref="G67:H67"/>
    <mergeCell ref="I67:I69"/>
    <mergeCell ref="D68:E68"/>
    <mergeCell ref="G68:H68"/>
    <mergeCell ref="E52:F52"/>
    <mergeCell ref="E54:F54"/>
    <mergeCell ref="E55:F55"/>
    <mergeCell ref="A63:I63"/>
    <mergeCell ref="A64:I64"/>
    <mergeCell ref="A65:I65"/>
    <mergeCell ref="A8:B8"/>
    <mergeCell ref="A9:B9"/>
    <mergeCell ref="A10:B10"/>
    <mergeCell ref="E24:F24"/>
    <mergeCell ref="B25:B26"/>
    <mergeCell ref="C25:C26"/>
    <mergeCell ref="D25:D26"/>
    <mergeCell ref="E25:E26"/>
    <mergeCell ref="F25:F26"/>
    <mergeCell ref="B1:F1"/>
    <mergeCell ref="A2:F2"/>
    <mergeCell ref="A3:F3"/>
    <mergeCell ref="A4:F4"/>
    <mergeCell ref="A5:F5"/>
    <mergeCell ref="E7:F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6"/>
  <sheetViews>
    <sheetView topLeftCell="A24" workbookViewId="0">
      <selection activeCell="F257" sqref="F257"/>
    </sheetView>
  </sheetViews>
  <sheetFormatPr defaultRowHeight="15"/>
  <cols>
    <col min="1" max="1" width="5.7109375" customWidth="1"/>
    <col min="2" max="2" width="5.28515625" customWidth="1"/>
    <col min="3" max="3" width="36.7109375" customWidth="1"/>
    <col min="4" max="6" width="20.7109375" customWidth="1"/>
    <col min="7" max="9" width="13.7109375" customWidth="1"/>
  </cols>
  <sheetData>
    <row r="1" spans="1:6" ht="33">
      <c r="A1" s="1" t="s">
        <v>0</v>
      </c>
      <c r="B1" s="1"/>
      <c r="C1" s="1"/>
      <c r="D1" s="1"/>
      <c r="E1" s="1"/>
      <c r="F1" s="1"/>
    </row>
    <row r="2" spans="1:6" ht="33">
      <c r="A2" s="2" t="s">
        <v>1</v>
      </c>
      <c r="B2" s="2"/>
      <c r="C2" s="2"/>
      <c r="D2" s="2"/>
      <c r="E2" s="2"/>
      <c r="F2" s="2"/>
    </row>
    <row r="3" spans="1:6" ht="33">
      <c r="A3" s="2" t="s">
        <v>2</v>
      </c>
      <c r="B3" s="2"/>
      <c r="C3" s="2"/>
      <c r="D3" s="2"/>
      <c r="E3" s="2"/>
      <c r="F3" s="2"/>
    </row>
    <row r="4" spans="1:6">
      <c r="A4" s="3" t="s">
        <v>3</v>
      </c>
      <c r="B4" s="3"/>
      <c r="C4" s="3"/>
      <c r="D4" s="3"/>
      <c r="E4" s="3"/>
      <c r="F4" s="3"/>
    </row>
    <row r="5" spans="1:6">
      <c r="A5" s="4" t="s">
        <v>4</v>
      </c>
      <c r="B5" s="4"/>
      <c r="C5" s="4"/>
      <c r="D5" s="4"/>
      <c r="E5" s="4"/>
      <c r="F5" s="4"/>
    </row>
    <row r="6" spans="1:6">
      <c r="A6" s="5"/>
      <c r="B6" s="5"/>
      <c r="C6" s="5"/>
      <c r="D6" s="5"/>
      <c r="E6" s="5"/>
      <c r="F6" s="5"/>
    </row>
    <row r="7" spans="1:6" ht="18.75">
      <c r="A7" s="6"/>
      <c r="B7" s="6"/>
      <c r="C7" s="6"/>
      <c r="D7" s="6"/>
      <c r="E7" s="7" t="s">
        <v>270</v>
      </c>
      <c r="F7" s="7"/>
    </row>
    <row r="8" spans="1:6" ht="18.75">
      <c r="A8" s="8" t="s">
        <v>6</v>
      </c>
      <c r="B8" s="8"/>
      <c r="C8" s="9" t="s">
        <v>271</v>
      </c>
      <c r="D8" s="10"/>
      <c r="E8" s="9"/>
      <c r="F8" s="10"/>
    </row>
    <row r="9" spans="1:6" ht="18.75">
      <c r="A9" s="8" t="s">
        <v>8</v>
      </c>
      <c r="B9" s="8"/>
      <c r="C9" s="9" t="s">
        <v>9</v>
      </c>
      <c r="D9" s="10"/>
      <c r="E9" s="9"/>
      <c r="F9" s="9"/>
    </row>
    <row r="10" spans="1:6" ht="18.75">
      <c r="A10" s="8" t="s">
        <v>10</v>
      </c>
      <c r="B10" s="8"/>
      <c r="C10" s="9" t="s">
        <v>11</v>
      </c>
      <c r="D10" s="10"/>
      <c r="E10" s="9"/>
      <c r="F10" s="9"/>
    </row>
    <row r="11" spans="1:6" ht="18.75">
      <c r="A11" s="9"/>
      <c r="B11" s="9"/>
      <c r="C11" s="9"/>
      <c r="D11" s="9"/>
      <c r="E11" s="9"/>
      <c r="F11" s="9"/>
    </row>
    <row r="12" spans="1:6" ht="18.75">
      <c r="A12" s="9"/>
      <c r="B12" s="9" t="s">
        <v>12</v>
      </c>
      <c r="C12" s="10"/>
      <c r="D12" s="10"/>
      <c r="E12" s="9"/>
      <c r="F12" s="9"/>
    </row>
    <row r="13" spans="1:6" ht="18.75">
      <c r="A13" s="9"/>
      <c r="B13" s="9" t="s">
        <v>13</v>
      </c>
      <c r="C13" s="10"/>
      <c r="D13" s="10"/>
      <c r="E13" s="9"/>
      <c r="F13" s="9"/>
    </row>
    <row r="14" spans="1:6" ht="18.75">
      <c r="A14" s="9"/>
      <c r="B14" s="9" t="s">
        <v>14</v>
      </c>
      <c r="C14" s="10"/>
      <c r="D14" s="10"/>
      <c r="E14" s="9"/>
      <c r="F14" s="9"/>
    </row>
    <row r="15" spans="1:6" ht="18.75">
      <c r="A15" s="9"/>
      <c r="B15" s="9" t="s">
        <v>15</v>
      </c>
      <c r="C15" s="10"/>
      <c r="D15" s="10"/>
      <c r="E15" s="9"/>
      <c r="F15" s="9"/>
    </row>
    <row r="16" spans="1:6" ht="18.75">
      <c r="A16" s="9"/>
      <c r="B16" s="9" t="s">
        <v>16</v>
      </c>
      <c r="C16" s="9"/>
      <c r="D16" s="10"/>
      <c r="E16" s="9"/>
      <c r="F16" s="9"/>
    </row>
    <row r="17" spans="1:6" ht="18.75">
      <c r="A17" s="9"/>
      <c r="B17" s="9" t="s">
        <v>17</v>
      </c>
      <c r="C17" s="9"/>
      <c r="D17" s="10"/>
      <c r="E17" s="9"/>
      <c r="F17" s="10"/>
    </row>
    <row r="18" spans="1:6" ht="18.75">
      <c r="A18" s="9"/>
      <c r="B18" s="9" t="s">
        <v>18</v>
      </c>
      <c r="C18" s="9"/>
      <c r="D18" s="10"/>
      <c r="E18" s="9"/>
      <c r="F18" s="9"/>
    </row>
    <row r="19" spans="1:6" ht="18.75">
      <c r="A19" s="9"/>
      <c r="B19" s="10"/>
      <c r="C19" s="9"/>
      <c r="D19" s="9"/>
      <c r="E19" s="9"/>
      <c r="F19" s="9"/>
    </row>
    <row r="20" spans="1:6" ht="19.5">
      <c r="A20" s="9"/>
      <c r="B20" s="11" t="s">
        <v>19</v>
      </c>
      <c r="C20" s="12"/>
      <c r="D20" s="12"/>
      <c r="E20" s="9"/>
      <c r="F20" s="10"/>
    </row>
    <row r="21" spans="1:6" ht="18.75">
      <c r="A21" s="9"/>
      <c r="B21" s="13" t="s">
        <v>272</v>
      </c>
      <c r="C21" s="13"/>
      <c r="D21" s="13"/>
      <c r="E21" s="13"/>
      <c r="F21" s="10"/>
    </row>
    <row r="22" spans="1:6" ht="18.75">
      <c r="A22" s="9"/>
      <c r="B22" s="13" t="s">
        <v>273</v>
      </c>
      <c r="C22" s="13"/>
      <c r="D22" s="13"/>
      <c r="E22" s="13"/>
      <c r="F22" s="10"/>
    </row>
    <row r="23" spans="1:6" ht="15.75">
      <c r="A23" s="14"/>
      <c r="B23" s="14"/>
      <c r="C23" s="14"/>
      <c r="D23" s="14"/>
      <c r="E23" s="15" t="s">
        <v>22</v>
      </c>
      <c r="F23" s="15"/>
    </row>
    <row r="24" spans="1:6" ht="18.75">
      <c r="A24" s="14"/>
      <c r="B24" s="16" t="s">
        <v>23</v>
      </c>
      <c r="C24" s="16" t="s">
        <v>24</v>
      </c>
      <c r="D24" s="17" t="s">
        <v>25</v>
      </c>
      <c r="E24" s="17" t="s">
        <v>26</v>
      </c>
      <c r="F24" s="17" t="s">
        <v>27</v>
      </c>
    </row>
    <row r="25" spans="1:6" ht="18.75">
      <c r="A25" s="14"/>
      <c r="B25" s="18"/>
      <c r="C25" s="18"/>
      <c r="D25" s="19"/>
      <c r="E25" s="19"/>
      <c r="F25" s="19"/>
    </row>
    <row r="26" spans="1:6" ht="15.75">
      <c r="A26" s="14"/>
      <c r="B26" s="20">
        <v>1</v>
      </c>
      <c r="C26" s="21" t="s">
        <v>28</v>
      </c>
      <c r="D26" s="22"/>
      <c r="E26" s="22"/>
      <c r="F26" s="23"/>
    </row>
    <row r="27" spans="1:6" ht="15.75">
      <c r="A27" s="14"/>
      <c r="B27" s="20"/>
      <c r="C27" s="21" t="s">
        <v>29</v>
      </c>
      <c r="D27" s="22"/>
      <c r="E27" s="22"/>
      <c r="F27" s="23"/>
    </row>
    <row r="28" spans="1:6" ht="15.75">
      <c r="A28" s="14"/>
      <c r="B28" s="24"/>
      <c r="C28" s="25" t="s">
        <v>274</v>
      </c>
      <c r="D28" s="26"/>
      <c r="E28" s="26"/>
      <c r="F28" s="26">
        <f>[2]JANUARI!F28</f>
        <v>1361992919</v>
      </c>
    </row>
    <row r="29" spans="1:6" ht="15.75">
      <c r="A29" s="14"/>
      <c r="B29" s="24"/>
      <c r="C29" s="25" t="s">
        <v>275</v>
      </c>
      <c r="D29" s="27">
        <f>[1]pebruari!$G$206</f>
        <v>106058686</v>
      </c>
      <c r="E29" s="28"/>
      <c r="F29" s="26"/>
    </row>
    <row r="30" spans="1:6" ht="15.75">
      <c r="A30" s="14"/>
      <c r="B30" s="24"/>
      <c r="C30" s="25" t="s">
        <v>276</v>
      </c>
      <c r="D30" s="26"/>
      <c r="E30" s="29">
        <f>[1]pebruari!$I$217</f>
        <v>7074420</v>
      </c>
      <c r="F30" s="26"/>
    </row>
    <row r="31" spans="1:6" ht="15.75">
      <c r="A31" s="14"/>
      <c r="B31" s="24"/>
      <c r="C31" s="30" t="s">
        <v>33</v>
      </c>
      <c r="D31" s="26"/>
      <c r="E31" s="29"/>
      <c r="F31" s="31">
        <f>F28+D29-E30</f>
        <v>1460977185</v>
      </c>
    </row>
    <row r="32" spans="1:6" ht="15.75">
      <c r="A32" s="14"/>
      <c r="B32" s="20"/>
      <c r="C32" s="32" t="s">
        <v>34</v>
      </c>
      <c r="D32" s="33"/>
      <c r="E32" s="33"/>
      <c r="F32" s="34"/>
    </row>
    <row r="33" spans="1:6" ht="15.75">
      <c r="A33" s="14"/>
      <c r="B33" s="24"/>
      <c r="C33" s="35" t="s">
        <v>274</v>
      </c>
      <c r="D33" s="29"/>
      <c r="E33" s="36"/>
      <c r="F33" s="37">
        <f>[2]JANUARI!F33</f>
        <v>2550000</v>
      </c>
    </row>
    <row r="34" spans="1:6" ht="15.75">
      <c r="A34" s="14"/>
      <c r="B34" s="24"/>
      <c r="C34" s="25" t="s">
        <v>275</v>
      </c>
      <c r="D34" s="37">
        <f>0</f>
        <v>0</v>
      </c>
      <c r="E34" s="36"/>
      <c r="F34" s="37"/>
    </row>
    <row r="35" spans="1:6" ht="15.75">
      <c r="A35" s="14"/>
      <c r="B35" s="24"/>
      <c r="C35" s="25" t="s">
        <v>276</v>
      </c>
      <c r="D35" s="29"/>
      <c r="E35" s="36">
        <f>0</f>
        <v>0</v>
      </c>
      <c r="F35" s="37"/>
    </row>
    <row r="36" spans="1:6" ht="15.75">
      <c r="A36" s="14"/>
      <c r="B36" s="24"/>
      <c r="C36" s="30" t="s">
        <v>33</v>
      </c>
      <c r="D36" s="38"/>
      <c r="E36" s="38"/>
      <c r="F36" s="31">
        <f>F33+D34-E35</f>
        <v>2550000</v>
      </c>
    </row>
    <row r="37" spans="1:6" ht="15.75">
      <c r="A37" s="14"/>
      <c r="B37" s="24"/>
      <c r="C37" s="30" t="s">
        <v>35</v>
      </c>
      <c r="D37" s="31">
        <f>D29+D34</f>
        <v>106058686</v>
      </c>
      <c r="E37" s="39">
        <f>E30+E35</f>
        <v>7074420</v>
      </c>
      <c r="F37" s="40">
        <f>F31+F36</f>
        <v>1463527185</v>
      </c>
    </row>
    <row r="38" spans="1:6" ht="15.75">
      <c r="A38" s="14"/>
      <c r="B38" s="20">
        <v>2</v>
      </c>
      <c r="C38" s="32" t="s">
        <v>36</v>
      </c>
      <c r="D38" s="33"/>
      <c r="E38" s="41"/>
      <c r="F38" s="42"/>
    </row>
    <row r="39" spans="1:6" ht="15.75">
      <c r="A39" s="14"/>
      <c r="B39" s="20"/>
      <c r="C39" s="32" t="s">
        <v>29</v>
      </c>
      <c r="D39" s="33"/>
      <c r="E39" s="41"/>
      <c r="F39" s="42"/>
    </row>
    <row r="40" spans="1:6" ht="15.75">
      <c r="A40" s="43"/>
      <c r="B40" s="24"/>
      <c r="C40" s="25" t="s">
        <v>277</v>
      </c>
      <c r="D40" s="26"/>
      <c r="E40" s="44"/>
      <c r="F40" s="39">
        <f>[2]JANUARI!F40</f>
        <v>906345167</v>
      </c>
    </row>
    <row r="41" spans="1:6" ht="15.75">
      <c r="A41" s="45"/>
      <c r="B41" s="24"/>
      <c r="C41" s="25" t="s">
        <v>275</v>
      </c>
      <c r="D41" s="46">
        <f>[1]pebruari!$H$206</f>
        <v>44157494</v>
      </c>
      <c r="E41" s="47"/>
      <c r="F41" s="44"/>
    </row>
    <row r="42" spans="1:6" ht="15.75">
      <c r="A42" s="14"/>
      <c r="B42" s="24"/>
      <c r="C42" s="25" t="s">
        <v>276</v>
      </c>
      <c r="D42" s="28"/>
      <c r="E42" s="48">
        <f>[1]pebruari!$I$230</f>
        <v>17124823</v>
      </c>
      <c r="F42" s="44"/>
    </row>
    <row r="43" spans="1:6" ht="15.75">
      <c r="A43" s="14"/>
      <c r="B43" s="20"/>
      <c r="C43" s="49" t="s">
        <v>37</v>
      </c>
      <c r="D43" s="38"/>
      <c r="E43" s="50"/>
      <c r="F43" s="51">
        <f>F40+D41-E42</f>
        <v>933377838</v>
      </c>
    </row>
    <row r="44" spans="1:6" ht="15.75">
      <c r="A44" s="14"/>
      <c r="B44" s="24"/>
      <c r="C44" s="52" t="s">
        <v>278</v>
      </c>
      <c r="D44" s="53">
        <f>D29+D41</f>
        <v>150216180</v>
      </c>
      <c r="E44" s="53">
        <f>E30+E42</f>
        <v>24199243</v>
      </c>
      <c r="F44" s="31">
        <f>F37+F43</f>
        <v>2396905023</v>
      </c>
    </row>
    <row r="45" spans="1:6" ht="15.75">
      <c r="A45" s="54" t="s">
        <v>39</v>
      </c>
      <c r="B45" s="54"/>
      <c r="C45" s="54"/>
      <c r="D45" s="54"/>
      <c r="E45" s="54"/>
      <c r="F45" s="54"/>
    </row>
    <row r="46" spans="1:6" ht="18.75">
      <c r="A46" s="55"/>
      <c r="B46" s="56"/>
      <c r="C46" s="10"/>
      <c r="D46" s="57"/>
      <c r="E46" s="10"/>
      <c r="F46" s="58"/>
    </row>
    <row r="47" spans="1:6" ht="18.75">
      <c r="A47" s="14"/>
      <c r="B47" s="59"/>
      <c r="C47" s="60" t="s">
        <v>40</v>
      </c>
      <c r="D47" s="61"/>
      <c r="E47" s="60"/>
      <c r="F47" s="58"/>
    </row>
    <row r="48" spans="1:6" ht="19.5">
      <c r="A48" s="62"/>
      <c r="B48" s="59"/>
      <c r="C48" s="63" t="s">
        <v>41</v>
      </c>
      <c r="D48" s="64"/>
      <c r="E48" s="65"/>
      <c r="F48" s="66"/>
    </row>
    <row r="49" spans="1:9" ht="18.75">
      <c r="A49" s="62"/>
      <c r="B49" s="62"/>
      <c r="C49" s="67" t="s">
        <v>42</v>
      </c>
      <c r="D49" s="10"/>
      <c r="E49" s="68" t="s">
        <v>43</v>
      </c>
      <c r="F49" s="68"/>
    </row>
    <row r="50" spans="1:9" ht="18.75">
      <c r="A50" s="62"/>
      <c r="B50" s="62"/>
      <c r="C50" s="67"/>
      <c r="D50" s="10"/>
      <c r="E50" s="69"/>
      <c r="F50" s="69"/>
    </row>
    <row r="51" spans="1:9" ht="18.75">
      <c r="A51" s="62"/>
      <c r="B51" s="62"/>
      <c r="C51" s="70" t="s">
        <v>44</v>
      </c>
      <c r="D51" s="71"/>
      <c r="E51" s="72" t="s">
        <v>44</v>
      </c>
      <c r="F51" s="72"/>
    </row>
    <row r="52" spans="1:9" ht="18.75">
      <c r="A52" s="62"/>
      <c r="B52" s="62"/>
      <c r="C52" s="73" t="s">
        <v>45</v>
      </c>
      <c r="D52" s="74"/>
      <c r="E52" s="75" t="s">
        <v>46</v>
      </c>
      <c r="F52" s="75"/>
    </row>
    <row r="53" spans="1:9" ht="15.75">
      <c r="A53" s="62"/>
      <c r="B53" s="62"/>
      <c r="C53" s="62"/>
      <c r="D53" s="62"/>
      <c r="E53" s="62"/>
      <c r="F53" s="62"/>
    </row>
    <row r="54" spans="1:9" ht="18.75">
      <c r="A54" s="59"/>
      <c r="B54" s="76" t="s">
        <v>47</v>
      </c>
      <c r="C54" s="9"/>
      <c r="D54" s="77"/>
      <c r="E54" s="62"/>
      <c r="F54" s="62"/>
    </row>
    <row r="55" spans="1:9" ht="18.75">
      <c r="A55" s="59"/>
      <c r="B55" s="9" t="s">
        <v>48</v>
      </c>
      <c r="C55" s="9"/>
      <c r="D55" s="78"/>
      <c r="E55" s="62"/>
      <c r="F55" s="62"/>
    </row>
    <row r="56" spans="1:9" ht="18.75">
      <c r="A56" s="59"/>
      <c r="B56" s="9" t="s">
        <v>49</v>
      </c>
      <c r="C56" s="9"/>
      <c r="D56" s="14"/>
      <c r="E56" s="62"/>
      <c r="F56" s="62"/>
    </row>
    <row r="57" spans="1:9" ht="18.75">
      <c r="A57" s="59"/>
      <c r="B57" s="9" t="s">
        <v>50</v>
      </c>
      <c r="C57" s="9"/>
      <c r="D57" s="14"/>
      <c r="E57" s="62"/>
      <c r="F57" s="62"/>
    </row>
    <row r="58" spans="1:9" ht="18.75">
      <c r="A58" s="59"/>
      <c r="B58" s="9" t="s">
        <v>51</v>
      </c>
      <c r="C58" s="9"/>
      <c r="D58" s="14"/>
      <c r="E58" s="62"/>
      <c r="F58" s="62"/>
    </row>
    <row r="61" spans="1:9" ht="18.75">
      <c r="A61" s="80" t="s">
        <v>52</v>
      </c>
    </row>
    <row r="62" spans="1:9" ht="22.5">
      <c r="A62" s="81" t="s">
        <v>53</v>
      </c>
      <c r="B62" s="81"/>
      <c r="C62" s="81"/>
      <c r="D62" s="81"/>
      <c r="E62" s="81"/>
      <c r="F62" s="81"/>
      <c r="G62" s="81"/>
      <c r="H62" s="81"/>
      <c r="I62" s="81"/>
    </row>
    <row r="63" spans="1:9" ht="22.5">
      <c r="A63" s="81" t="s">
        <v>54</v>
      </c>
      <c r="B63" s="81"/>
      <c r="C63" s="81"/>
      <c r="D63" s="81"/>
      <c r="E63" s="81"/>
      <c r="F63" s="81"/>
      <c r="G63" s="81"/>
      <c r="H63" s="81"/>
      <c r="I63" s="81"/>
    </row>
    <row r="64" spans="1:9" ht="20.25">
      <c r="A64" s="82" t="s">
        <v>279</v>
      </c>
      <c r="B64" s="82"/>
      <c r="C64" s="82"/>
      <c r="D64" s="82"/>
      <c r="E64" s="82"/>
      <c r="F64" s="82"/>
      <c r="G64" s="82"/>
      <c r="H64" s="82"/>
      <c r="I64" s="82"/>
    </row>
    <row r="65" spans="1:9" ht="15.75" thickBot="1">
      <c r="A65" s="83"/>
      <c r="B65" s="83"/>
      <c r="C65" s="83"/>
      <c r="D65" s="83"/>
      <c r="E65" s="83"/>
      <c r="F65" s="83"/>
      <c r="G65" s="83"/>
      <c r="H65" s="83"/>
      <c r="I65" s="83"/>
    </row>
    <row r="66" spans="1:9" ht="15.75" thickTop="1">
      <c r="A66" s="84" t="s">
        <v>23</v>
      </c>
      <c r="B66" s="85" t="s">
        <v>56</v>
      </c>
      <c r="C66" s="86"/>
      <c r="D66" s="87" t="s">
        <v>57</v>
      </c>
      <c r="E66" s="88"/>
      <c r="F66" s="89" t="s">
        <v>58</v>
      </c>
      <c r="G66" s="87" t="s">
        <v>57</v>
      </c>
      <c r="H66" s="88"/>
      <c r="I66" s="89" t="s">
        <v>58</v>
      </c>
    </row>
    <row r="67" spans="1:9">
      <c r="A67" s="90"/>
      <c r="B67" s="91"/>
      <c r="C67" s="92"/>
      <c r="D67" s="93" t="s">
        <v>60</v>
      </c>
      <c r="E67" s="94"/>
      <c r="F67" s="95"/>
      <c r="G67" s="93" t="s">
        <v>280</v>
      </c>
      <c r="H67" s="94"/>
      <c r="I67" s="95"/>
    </row>
    <row r="68" spans="1:9">
      <c r="A68" s="96"/>
      <c r="B68" s="97"/>
      <c r="C68" s="98"/>
      <c r="D68" s="99" t="s">
        <v>28</v>
      </c>
      <c r="E68" s="99" t="s">
        <v>61</v>
      </c>
      <c r="F68" s="100"/>
      <c r="G68" s="99" t="s">
        <v>28</v>
      </c>
      <c r="H68" s="99" t="s">
        <v>61</v>
      </c>
      <c r="I68" s="100"/>
    </row>
    <row r="69" spans="1:9">
      <c r="A69" s="101" t="s">
        <v>62</v>
      </c>
      <c r="B69" s="102"/>
      <c r="C69" s="102"/>
      <c r="D69" s="102"/>
      <c r="E69" s="102"/>
      <c r="F69" s="102"/>
      <c r="G69" s="102"/>
      <c r="H69" s="102"/>
      <c r="I69" s="103"/>
    </row>
    <row r="70" spans="1:9">
      <c r="A70" s="104">
        <v>1</v>
      </c>
      <c r="B70" s="104">
        <v>1</v>
      </c>
      <c r="C70" s="105" t="s">
        <v>63</v>
      </c>
      <c r="D70" s="106">
        <v>2035800</v>
      </c>
      <c r="E70" s="107">
        <f>0</f>
        <v>0</v>
      </c>
      <c r="F70" s="106">
        <f>SUM(D70:E70)</f>
        <v>2035800</v>
      </c>
      <c r="G70" s="106">
        <v>2035800</v>
      </c>
      <c r="H70" s="107">
        <f>0</f>
        <v>0</v>
      </c>
      <c r="I70" s="106">
        <f>SUM(G70:H70)</f>
        <v>2035800</v>
      </c>
    </row>
    <row r="71" spans="1:9">
      <c r="A71" s="108" t="s">
        <v>58</v>
      </c>
      <c r="B71" s="109"/>
      <c r="C71" s="109"/>
      <c r="D71" s="110">
        <f>D70</f>
        <v>2035800</v>
      </c>
      <c r="E71" s="111">
        <f>E70</f>
        <v>0</v>
      </c>
      <c r="F71" s="112">
        <f>SUM(D71:E71)</f>
        <v>2035800</v>
      </c>
      <c r="G71" s="110">
        <f>G70</f>
        <v>2035800</v>
      </c>
      <c r="H71" s="111">
        <f>H70</f>
        <v>0</v>
      </c>
      <c r="I71" s="112">
        <f>SUM(G71:H71)</f>
        <v>2035800</v>
      </c>
    </row>
    <row r="72" spans="1:9">
      <c r="A72" s="108" t="s">
        <v>64</v>
      </c>
      <c r="B72" s="109"/>
      <c r="C72" s="109"/>
      <c r="D72" s="109"/>
      <c r="E72" s="109"/>
      <c r="F72" s="109"/>
      <c r="G72" s="109"/>
      <c r="H72" s="109"/>
      <c r="I72" s="113"/>
    </row>
    <row r="73" spans="1:9">
      <c r="A73" s="114">
        <v>2</v>
      </c>
      <c r="B73" s="115">
        <v>1</v>
      </c>
      <c r="C73" s="116" t="s">
        <v>65</v>
      </c>
      <c r="D73" s="106">
        <f>0</f>
        <v>0</v>
      </c>
      <c r="E73" s="106">
        <f>0</f>
        <v>0</v>
      </c>
      <c r="F73" s="117">
        <f>SUM(D73:E73)</f>
        <v>0</v>
      </c>
      <c r="G73" s="106">
        <f>0</f>
        <v>0</v>
      </c>
      <c r="H73" s="106">
        <f>0</f>
        <v>0</v>
      </c>
      <c r="I73" s="117">
        <f>SUM(G73:H73)</f>
        <v>0</v>
      </c>
    </row>
    <row r="74" spans="1:9">
      <c r="A74" s="114">
        <v>3</v>
      </c>
      <c r="B74" s="115">
        <v>2</v>
      </c>
      <c r="C74" s="116" t="s">
        <v>66</v>
      </c>
      <c r="D74" s="106">
        <v>864469</v>
      </c>
      <c r="E74" s="106">
        <v>296550</v>
      </c>
      <c r="F74" s="117">
        <f t="shared" ref="F74:F82" si="0">SUM(D74:E74)</f>
        <v>1161019</v>
      </c>
      <c r="G74" s="106">
        <v>864469</v>
      </c>
      <c r="H74" s="106">
        <v>306550</v>
      </c>
      <c r="I74" s="117">
        <f t="shared" ref="I74:I82" si="1">SUM(G74:H74)</f>
        <v>1171019</v>
      </c>
    </row>
    <row r="75" spans="1:9">
      <c r="A75" s="114">
        <v>4</v>
      </c>
      <c r="B75" s="115">
        <v>3</v>
      </c>
      <c r="C75" s="116" t="s">
        <v>67</v>
      </c>
      <c r="D75" s="106">
        <v>2150400</v>
      </c>
      <c r="E75" s="118">
        <v>270000</v>
      </c>
      <c r="F75" s="117">
        <f t="shared" si="0"/>
        <v>2420400</v>
      </c>
      <c r="G75" s="106">
        <v>2150400</v>
      </c>
      <c r="H75" s="118">
        <v>270000</v>
      </c>
      <c r="I75" s="117">
        <f t="shared" si="1"/>
        <v>2420400</v>
      </c>
    </row>
    <row r="76" spans="1:9">
      <c r="A76" s="114">
        <v>5</v>
      </c>
      <c r="B76" s="115">
        <v>4</v>
      </c>
      <c r="C76" s="116" t="s">
        <v>68</v>
      </c>
      <c r="D76" s="106">
        <v>1459478</v>
      </c>
      <c r="E76" s="106">
        <v>44000</v>
      </c>
      <c r="F76" s="117">
        <f t="shared" si="0"/>
        <v>1503478</v>
      </c>
      <c r="G76" s="106">
        <v>1467063</v>
      </c>
      <c r="H76" s="106">
        <v>44000</v>
      </c>
      <c r="I76" s="117">
        <f t="shared" si="1"/>
        <v>1511063</v>
      </c>
    </row>
    <row r="77" spans="1:9">
      <c r="A77" s="114">
        <v>6</v>
      </c>
      <c r="B77" s="115">
        <v>5</v>
      </c>
      <c r="C77" s="116" t="s">
        <v>69</v>
      </c>
      <c r="D77" s="106">
        <v>2104000</v>
      </c>
      <c r="E77" s="106">
        <v>157300</v>
      </c>
      <c r="F77" s="117">
        <f t="shared" si="0"/>
        <v>2261300</v>
      </c>
      <c r="G77" s="106">
        <v>2118200</v>
      </c>
      <c r="H77" s="106">
        <v>147300</v>
      </c>
      <c r="I77" s="117">
        <f t="shared" si="1"/>
        <v>2265500</v>
      </c>
    </row>
    <row r="78" spans="1:9">
      <c r="A78" s="114">
        <v>7</v>
      </c>
      <c r="B78" s="115">
        <v>6</v>
      </c>
      <c r="C78" s="116" t="s">
        <v>70</v>
      </c>
      <c r="D78" s="106">
        <v>4337900</v>
      </c>
      <c r="E78" s="106">
        <f>0</f>
        <v>0</v>
      </c>
      <c r="F78" s="117">
        <f t="shared" si="0"/>
        <v>4337900</v>
      </c>
      <c r="G78" s="106">
        <v>4163000</v>
      </c>
      <c r="H78" s="106">
        <f>0</f>
        <v>0</v>
      </c>
      <c r="I78" s="117">
        <f t="shared" si="1"/>
        <v>4163000</v>
      </c>
    </row>
    <row r="79" spans="1:9">
      <c r="A79" s="114">
        <v>8</v>
      </c>
      <c r="B79" s="115">
        <v>7</v>
      </c>
      <c r="C79" s="116" t="s">
        <v>71</v>
      </c>
      <c r="D79" s="106">
        <v>1346300</v>
      </c>
      <c r="E79" s="106">
        <v>2022500</v>
      </c>
      <c r="F79" s="117">
        <f t="shared" si="0"/>
        <v>3368800</v>
      </c>
      <c r="G79" s="106">
        <v>1406300</v>
      </c>
      <c r="H79" s="106">
        <v>2022500</v>
      </c>
      <c r="I79" s="117">
        <f t="shared" si="1"/>
        <v>3428800</v>
      </c>
    </row>
    <row r="80" spans="1:9">
      <c r="A80" s="114">
        <v>9</v>
      </c>
      <c r="B80" s="115">
        <v>8</v>
      </c>
      <c r="C80" s="116" t="s">
        <v>72</v>
      </c>
      <c r="D80" s="106">
        <f>0</f>
        <v>0</v>
      </c>
      <c r="E80" s="106">
        <f>0</f>
        <v>0</v>
      </c>
      <c r="F80" s="117">
        <f t="shared" si="0"/>
        <v>0</v>
      </c>
      <c r="G80" s="106">
        <f>534000+534000</f>
        <v>1068000</v>
      </c>
      <c r="H80" s="106">
        <f>875000+875000</f>
        <v>1750000</v>
      </c>
      <c r="I80" s="117">
        <f t="shared" si="1"/>
        <v>2818000</v>
      </c>
    </row>
    <row r="81" spans="1:9">
      <c r="A81" s="114">
        <v>10</v>
      </c>
      <c r="B81" s="115">
        <v>9</v>
      </c>
      <c r="C81" s="116" t="s">
        <v>73</v>
      </c>
      <c r="D81" s="106">
        <v>1551000</v>
      </c>
      <c r="E81" s="106">
        <v>52000</v>
      </c>
      <c r="F81" s="117">
        <f t="shared" si="0"/>
        <v>1603000</v>
      </c>
      <c r="G81" s="106">
        <v>1563000</v>
      </c>
      <c r="H81" s="106">
        <v>52000</v>
      </c>
      <c r="I81" s="117">
        <f t="shared" si="1"/>
        <v>1615000</v>
      </c>
    </row>
    <row r="82" spans="1:9">
      <c r="A82" s="114">
        <v>11</v>
      </c>
      <c r="B82" s="115">
        <v>10</v>
      </c>
      <c r="C82" s="119" t="s">
        <v>74</v>
      </c>
      <c r="D82" s="106">
        <v>308520</v>
      </c>
      <c r="E82" s="106">
        <v>53000</v>
      </c>
      <c r="F82" s="117">
        <f t="shared" si="0"/>
        <v>361520</v>
      </c>
      <c r="G82" s="106">
        <v>308520</v>
      </c>
      <c r="H82" s="106">
        <v>53000</v>
      </c>
      <c r="I82" s="117">
        <f t="shared" si="1"/>
        <v>361520</v>
      </c>
    </row>
    <row r="83" spans="1:9">
      <c r="A83" s="108" t="s">
        <v>58</v>
      </c>
      <c r="B83" s="109"/>
      <c r="C83" s="109"/>
      <c r="D83" s="110">
        <f>SUM(D73:D82)</f>
        <v>14122067</v>
      </c>
      <c r="E83" s="110">
        <f>SUM(E73:E82)</f>
        <v>2895350</v>
      </c>
      <c r="F83" s="110">
        <f>SUM(D83:E83)</f>
        <v>17017417</v>
      </c>
      <c r="G83" s="110">
        <f>SUM(G73:G82)</f>
        <v>15108952</v>
      </c>
      <c r="H83" s="110">
        <f>SUM(H73:H82)</f>
        <v>4645350</v>
      </c>
      <c r="I83" s="110">
        <f>SUM(G83:H83)</f>
        <v>19754302</v>
      </c>
    </row>
    <row r="84" spans="1:9">
      <c r="A84" s="108" t="s">
        <v>75</v>
      </c>
      <c r="B84" s="109"/>
      <c r="C84" s="109"/>
      <c r="D84" s="109"/>
      <c r="E84" s="109"/>
      <c r="F84" s="109"/>
      <c r="G84" s="109"/>
      <c r="H84" s="109"/>
      <c r="I84" s="113"/>
    </row>
    <row r="85" spans="1:9">
      <c r="A85" s="120">
        <v>12</v>
      </c>
      <c r="B85" s="119">
        <v>1</v>
      </c>
      <c r="C85" s="116" t="s">
        <v>76</v>
      </c>
      <c r="D85" s="106">
        <v>2850223</v>
      </c>
      <c r="E85" s="106">
        <v>2053215</v>
      </c>
      <c r="F85" s="117">
        <f>SUM(D85:E85)</f>
        <v>4903438</v>
      </c>
      <c r="G85" s="106">
        <v>2709403</v>
      </c>
      <c r="H85" s="106">
        <v>1997215</v>
      </c>
      <c r="I85" s="117">
        <f>SUM(G85:H85)</f>
        <v>4706618</v>
      </c>
    </row>
    <row r="86" spans="1:9">
      <c r="A86" s="120">
        <v>13</v>
      </c>
      <c r="B86" s="119">
        <v>2</v>
      </c>
      <c r="C86" s="116" t="s">
        <v>77</v>
      </c>
      <c r="D86" s="106">
        <v>3735236</v>
      </c>
      <c r="E86" s="106">
        <v>5160000</v>
      </c>
      <c r="F86" s="117">
        <f t="shared" ref="F86:F98" si="2">SUM(D86:E86)</f>
        <v>8895236</v>
      </c>
      <c r="G86" s="106">
        <v>3742156</v>
      </c>
      <c r="H86" s="106">
        <v>5170000</v>
      </c>
      <c r="I86" s="117">
        <f t="shared" ref="I86:I98" si="3">SUM(G86:H86)</f>
        <v>8912156</v>
      </c>
    </row>
    <row r="87" spans="1:9">
      <c r="A87" s="120">
        <v>14</v>
      </c>
      <c r="B87" s="119">
        <v>3</v>
      </c>
      <c r="C87" s="116" t="s">
        <v>78</v>
      </c>
      <c r="D87" s="106">
        <v>2967300</v>
      </c>
      <c r="E87" s="106">
        <v>796000</v>
      </c>
      <c r="F87" s="117">
        <f t="shared" si="2"/>
        <v>3763300</v>
      </c>
      <c r="G87" s="106">
        <v>2967300</v>
      </c>
      <c r="H87" s="106">
        <v>793000</v>
      </c>
      <c r="I87" s="117">
        <f t="shared" si="3"/>
        <v>3760300</v>
      </c>
    </row>
    <row r="88" spans="1:9">
      <c r="A88" s="120">
        <v>15</v>
      </c>
      <c r="B88" s="119">
        <v>4</v>
      </c>
      <c r="C88" s="116" t="s">
        <v>79</v>
      </c>
      <c r="D88" s="106">
        <v>966440</v>
      </c>
      <c r="E88" s="106">
        <v>1475392</v>
      </c>
      <c r="F88" s="117">
        <f t="shared" si="2"/>
        <v>2441832</v>
      </c>
      <c r="G88" s="106">
        <v>966440</v>
      </c>
      <c r="H88" s="106">
        <v>1475392</v>
      </c>
      <c r="I88" s="117">
        <f t="shared" si="3"/>
        <v>2441832</v>
      </c>
    </row>
    <row r="89" spans="1:9">
      <c r="A89" s="120">
        <v>16</v>
      </c>
      <c r="B89" s="119">
        <v>5</v>
      </c>
      <c r="C89" s="116" t="s">
        <v>80</v>
      </c>
      <c r="D89" s="106">
        <v>2858200</v>
      </c>
      <c r="E89" s="106">
        <v>110000</v>
      </c>
      <c r="F89" s="117">
        <f t="shared" si="2"/>
        <v>2968200</v>
      </c>
      <c r="G89" s="106">
        <v>2858200</v>
      </c>
      <c r="H89" s="106">
        <f>73000+110000</f>
        <v>183000</v>
      </c>
      <c r="I89" s="117">
        <f t="shared" si="3"/>
        <v>3041200</v>
      </c>
    </row>
    <row r="90" spans="1:9">
      <c r="A90" s="120">
        <v>17</v>
      </c>
      <c r="B90" s="119">
        <v>6</v>
      </c>
      <c r="C90" s="116" t="s">
        <v>81</v>
      </c>
      <c r="D90" s="106">
        <v>2085500</v>
      </c>
      <c r="E90" s="106">
        <v>153000</v>
      </c>
      <c r="F90" s="117">
        <f t="shared" si="2"/>
        <v>2238500</v>
      </c>
      <c r="G90" s="106">
        <v>2085500</v>
      </c>
      <c r="H90" s="106">
        <v>153000</v>
      </c>
      <c r="I90" s="117">
        <f t="shared" si="3"/>
        <v>2238500</v>
      </c>
    </row>
    <row r="91" spans="1:9">
      <c r="A91" s="120">
        <v>18</v>
      </c>
      <c r="B91" s="119">
        <v>7</v>
      </c>
      <c r="C91" s="116" t="s">
        <v>82</v>
      </c>
      <c r="D91" s="106">
        <v>4329900</v>
      </c>
      <c r="E91" s="106">
        <v>200000</v>
      </c>
      <c r="F91" s="117">
        <f t="shared" si="2"/>
        <v>4529900</v>
      </c>
      <c r="G91" s="106">
        <v>4329900</v>
      </c>
      <c r="H91" s="106">
        <v>200000</v>
      </c>
      <c r="I91" s="117">
        <f t="shared" si="3"/>
        <v>4529900</v>
      </c>
    </row>
    <row r="92" spans="1:9">
      <c r="A92" s="120">
        <v>19</v>
      </c>
      <c r="B92" s="119">
        <v>8</v>
      </c>
      <c r="C92" s="116" t="s">
        <v>83</v>
      </c>
      <c r="D92" s="106">
        <v>1061000</v>
      </c>
      <c r="E92" s="106">
        <v>981000</v>
      </c>
      <c r="F92" s="117">
        <f t="shared" si="2"/>
        <v>2042000</v>
      </c>
      <c r="G92" s="106">
        <v>1061000</v>
      </c>
      <c r="H92" s="106">
        <v>981000</v>
      </c>
      <c r="I92" s="117">
        <f t="shared" si="3"/>
        <v>2042000</v>
      </c>
    </row>
    <row r="93" spans="1:9">
      <c r="A93" s="120">
        <v>20</v>
      </c>
      <c r="B93" s="119">
        <v>9</v>
      </c>
      <c r="C93" s="116" t="s">
        <v>84</v>
      </c>
      <c r="D93" s="106">
        <v>748000</v>
      </c>
      <c r="E93" s="106">
        <v>162000</v>
      </c>
      <c r="F93" s="117">
        <f t="shared" si="2"/>
        <v>910000</v>
      </c>
      <c r="G93" s="106">
        <f>0</f>
        <v>0</v>
      </c>
      <c r="H93" s="106">
        <f>0</f>
        <v>0</v>
      </c>
      <c r="I93" s="117">
        <f t="shared" si="3"/>
        <v>0</v>
      </c>
    </row>
    <row r="94" spans="1:9">
      <c r="A94" s="120">
        <v>21</v>
      </c>
      <c r="B94" s="119">
        <v>10</v>
      </c>
      <c r="C94" s="116" t="s">
        <v>85</v>
      </c>
      <c r="D94" s="106">
        <v>3245671</v>
      </c>
      <c r="E94" s="106">
        <v>59000</v>
      </c>
      <c r="F94" s="117">
        <f t="shared" si="2"/>
        <v>3304671</v>
      </c>
      <c r="G94" s="106">
        <v>3241671</v>
      </c>
      <c r="H94" s="106">
        <v>59000</v>
      </c>
      <c r="I94" s="117">
        <f t="shared" si="3"/>
        <v>3300671</v>
      </c>
    </row>
    <row r="95" spans="1:9">
      <c r="A95" s="120">
        <v>22</v>
      </c>
      <c r="B95" s="119">
        <v>11</v>
      </c>
      <c r="C95" s="116" t="s">
        <v>86</v>
      </c>
      <c r="D95" s="106">
        <v>2759000</v>
      </c>
      <c r="E95" s="106">
        <v>1370000</v>
      </c>
      <c r="F95" s="117">
        <f t="shared" si="2"/>
        <v>4129000</v>
      </c>
      <c r="G95" s="106">
        <v>2759000</v>
      </c>
      <c r="H95" s="106">
        <v>1370000</v>
      </c>
      <c r="I95" s="117">
        <f t="shared" si="3"/>
        <v>4129000</v>
      </c>
    </row>
    <row r="96" spans="1:9">
      <c r="A96" s="120">
        <v>23</v>
      </c>
      <c r="B96" s="119">
        <v>12</v>
      </c>
      <c r="C96" s="116" t="s">
        <v>87</v>
      </c>
      <c r="D96" s="106">
        <v>1615000</v>
      </c>
      <c r="E96" s="106">
        <v>504159</v>
      </c>
      <c r="F96" s="117">
        <f t="shared" si="2"/>
        <v>2119159</v>
      </c>
      <c r="G96" s="106">
        <v>1572700</v>
      </c>
      <c r="H96" s="106">
        <v>494159</v>
      </c>
      <c r="I96" s="117">
        <f t="shared" si="3"/>
        <v>2066859</v>
      </c>
    </row>
    <row r="97" spans="1:9">
      <c r="A97" s="120">
        <v>24</v>
      </c>
      <c r="B97" s="119">
        <v>13</v>
      </c>
      <c r="C97" s="116" t="s">
        <v>88</v>
      </c>
      <c r="D97" s="106">
        <v>1532500</v>
      </c>
      <c r="E97" s="106">
        <v>685000</v>
      </c>
      <c r="F97" s="117">
        <f t="shared" si="2"/>
        <v>2217500</v>
      </c>
      <c r="G97" s="106">
        <v>1532500</v>
      </c>
      <c r="H97" s="106">
        <v>685000</v>
      </c>
      <c r="I97" s="117">
        <f t="shared" si="3"/>
        <v>2217500</v>
      </c>
    </row>
    <row r="98" spans="1:9">
      <c r="A98" s="120">
        <v>25</v>
      </c>
      <c r="B98" s="119">
        <v>14</v>
      </c>
      <c r="C98" s="116" t="s">
        <v>89</v>
      </c>
      <c r="D98" s="106">
        <v>178400</v>
      </c>
      <c r="E98" s="106">
        <v>284000</v>
      </c>
      <c r="F98" s="117">
        <f t="shared" si="2"/>
        <v>462400</v>
      </c>
      <c r="G98" s="106">
        <f>0</f>
        <v>0</v>
      </c>
      <c r="H98" s="106">
        <f>0</f>
        <v>0</v>
      </c>
      <c r="I98" s="117">
        <f t="shared" si="3"/>
        <v>0</v>
      </c>
    </row>
    <row r="99" spans="1:9">
      <c r="A99" s="108" t="s">
        <v>58</v>
      </c>
      <c r="B99" s="109"/>
      <c r="C99" s="109"/>
      <c r="D99" s="110">
        <f>SUM(D85:D98)</f>
        <v>30932370</v>
      </c>
      <c r="E99" s="110">
        <f>SUM(E85:E98)</f>
        <v>13992766</v>
      </c>
      <c r="F99" s="110">
        <f>SUM(D99:E99)</f>
        <v>44925136</v>
      </c>
      <c r="G99" s="110">
        <f>SUM(G85:G98)</f>
        <v>29825770</v>
      </c>
      <c r="H99" s="110">
        <f>SUM(H85:H98)</f>
        <v>13560766</v>
      </c>
      <c r="I99" s="110">
        <f>SUM(G99:H99)</f>
        <v>43386536</v>
      </c>
    </row>
    <row r="100" spans="1:9">
      <c r="A100" s="108" t="s">
        <v>90</v>
      </c>
      <c r="B100" s="109"/>
      <c r="C100" s="109"/>
      <c r="D100" s="109"/>
      <c r="E100" s="109"/>
      <c r="F100" s="109"/>
      <c r="G100" s="109"/>
      <c r="H100" s="109"/>
      <c r="I100" s="113"/>
    </row>
    <row r="101" spans="1:9">
      <c r="A101" s="119">
        <v>26</v>
      </c>
      <c r="B101" s="119">
        <v>1</v>
      </c>
      <c r="C101" s="116" t="s">
        <v>91</v>
      </c>
      <c r="D101" s="106">
        <v>350000</v>
      </c>
      <c r="E101" s="106">
        <v>305000</v>
      </c>
      <c r="F101" s="117">
        <f>SUM(D101:E101)</f>
        <v>655000</v>
      </c>
      <c r="G101" s="106">
        <v>350000</v>
      </c>
      <c r="H101" s="106">
        <v>305000</v>
      </c>
      <c r="I101" s="117">
        <f>SUM(G101:H101)</f>
        <v>655000</v>
      </c>
    </row>
    <row r="102" spans="1:9">
      <c r="A102" s="119">
        <v>27</v>
      </c>
      <c r="B102" s="119">
        <v>2</v>
      </c>
      <c r="C102" s="121" t="s">
        <v>92</v>
      </c>
      <c r="D102" s="106">
        <f>0</f>
        <v>0</v>
      </c>
      <c r="E102" s="106">
        <f>0</f>
        <v>0</v>
      </c>
      <c r="F102" s="117">
        <f t="shared" ref="F102:F110" si="4">SUM(D102:E102)</f>
        <v>0</v>
      </c>
      <c r="G102" s="106">
        <f>0</f>
        <v>0</v>
      </c>
      <c r="H102" s="106">
        <f>0</f>
        <v>0</v>
      </c>
      <c r="I102" s="117">
        <f t="shared" ref="I102:I110" si="5">SUM(G102:H102)</f>
        <v>0</v>
      </c>
    </row>
    <row r="103" spans="1:9">
      <c r="A103" s="119">
        <v>28</v>
      </c>
      <c r="B103" s="119">
        <v>3</v>
      </c>
      <c r="C103" s="121" t="s">
        <v>93</v>
      </c>
      <c r="D103" s="106">
        <f>0</f>
        <v>0</v>
      </c>
      <c r="E103" s="106">
        <f>0</f>
        <v>0</v>
      </c>
      <c r="F103" s="117">
        <f t="shared" si="4"/>
        <v>0</v>
      </c>
      <c r="G103" s="106">
        <f>384000+509000</f>
        <v>893000</v>
      </c>
      <c r="H103" s="106">
        <f>60000+60000</f>
        <v>120000</v>
      </c>
      <c r="I103" s="117">
        <f t="shared" si="5"/>
        <v>1013000</v>
      </c>
    </row>
    <row r="104" spans="1:9">
      <c r="A104" s="119">
        <v>29</v>
      </c>
      <c r="B104" s="119">
        <v>4</v>
      </c>
      <c r="C104" s="121" t="s">
        <v>94</v>
      </c>
      <c r="D104" s="106">
        <f>0</f>
        <v>0</v>
      </c>
      <c r="E104" s="106">
        <f>0</f>
        <v>0</v>
      </c>
      <c r="F104" s="117">
        <f t="shared" si="4"/>
        <v>0</v>
      </c>
      <c r="G104" s="106">
        <f>0</f>
        <v>0</v>
      </c>
      <c r="H104" s="106">
        <f>0</f>
        <v>0</v>
      </c>
      <c r="I104" s="117">
        <f t="shared" si="5"/>
        <v>0</v>
      </c>
    </row>
    <row r="105" spans="1:9">
      <c r="A105" s="119">
        <v>30</v>
      </c>
      <c r="B105" s="119">
        <v>5</v>
      </c>
      <c r="C105" s="121" t="s">
        <v>95</v>
      </c>
      <c r="D105" s="106">
        <v>148000</v>
      </c>
      <c r="E105" s="106">
        <v>260000</v>
      </c>
      <c r="F105" s="117">
        <f t="shared" si="4"/>
        <v>408000</v>
      </c>
      <c r="G105" s="106">
        <v>148000</v>
      </c>
      <c r="H105" s="106">
        <v>260000</v>
      </c>
      <c r="I105" s="117">
        <f t="shared" si="5"/>
        <v>408000</v>
      </c>
    </row>
    <row r="106" spans="1:9">
      <c r="A106" s="119">
        <v>31</v>
      </c>
      <c r="B106" s="119">
        <v>6</v>
      </c>
      <c r="C106" s="121" t="s">
        <v>96</v>
      </c>
      <c r="D106" s="106">
        <v>419500</v>
      </c>
      <c r="E106" s="106">
        <v>42000</v>
      </c>
      <c r="F106" s="117">
        <f t="shared" si="4"/>
        <v>461500</v>
      </c>
      <c r="G106" s="106">
        <v>419500</v>
      </c>
      <c r="H106" s="106">
        <v>42000</v>
      </c>
      <c r="I106" s="117">
        <f t="shared" si="5"/>
        <v>461500</v>
      </c>
    </row>
    <row r="107" spans="1:9">
      <c r="A107" s="119">
        <v>32</v>
      </c>
      <c r="B107" s="119">
        <v>7</v>
      </c>
      <c r="C107" s="121" t="s">
        <v>97</v>
      </c>
      <c r="D107" s="106">
        <v>673500</v>
      </c>
      <c r="E107" s="106">
        <v>337500</v>
      </c>
      <c r="F107" s="117">
        <f t="shared" si="4"/>
        <v>1011000</v>
      </c>
      <c r="G107" s="106">
        <v>673500</v>
      </c>
      <c r="H107" s="106">
        <v>337500</v>
      </c>
      <c r="I107" s="117">
        <f t="shared" si="5"/>
        <v>1011000</v>
      </c>
    </row>
    <row r="108" spans="1:9">
      <c r="A108" s="119">
        <v>33</v>
      </c>
      <c r="B108" s="119">
        <v>8</v>
      </c>
      <c r="C108" s="121" t="s">
        <v>98</v>
      </c>
      <c r="D108" s="106">
        <v>457400</v>
      </c>
      <c r="E108" s="106">
        <v>84000</v>
      </c>
      <c r="F108" s="117">
        <f t="shared" si="4"/>
        <v>541400</v>
      </c>
      <c r="G108" s="106">
        <v>457400</v>
      </c>
      <c r="H108" s="106">
        <v>84000</v>
      </c>
      <c r="I108" s="117">
        <f t="shared" si="5"/>
        <v>541400</v>
      </c>
    </row>
    <row r="109" spans="1:9">
      <c r="A109" s="119">
        <v>34</v>
      </c>
      <c r="B109" s="119">
        <v>9</v>
      </c>
      <c r="C109" s="122" t="s">
        <v>99</v>
      </c>
      <c r="D109" s="106">
        <v>623800</v>
      </c>
      <c r="E109" s="106">
        <v>233000</v>
      </c>
      <c r="F109" s="117">
        <f t="shared" si="4"/>
        <v>856800</v>
      </c>
      <c r="G109" s="106">
        <v>520400</v>
      </c>
      <c r="H109" s="106">
        <v>283000</v>
      </c>
      <c r="I109" s="117">
        <f t="shared" si="5"/>
        <v>803400</v>
      </c>
    </row>
    <row r="110" spans="1:9">
      <c r="A110" s="119">
        <v>35</v>
      </c>
      <c r="B110" s="119">
        <v>10</v>
      </c>
      <c r="C110" s="121" t="s">
        <v>100</v>
      </c>
      <c r="D110" s="106">
        <f>0</f>
        <v>0</v>
      </c>
      <c r="E110" s="106">
        <f>0</f>
        <v>0</v>
      </c>
      <c r="F110" s="117">
        <f t="shared" si="4"/>
        <v>0</v>
      </c>
      <c r="G110" s="106">
        <f>0</f>
        <v>0</v>
      </c>
      <c r="H110" s="106">
        <f>0</f>
        <v>0</v>
      </c>
      <c r="I110" s="117">
        <f t="shared" si="5"/>
        <v>0</v>
      </c>
    </row>
    <row r="111" spans="1:9">
      <c r="A111" s="108" t="s">
        <v>101</v>
      </c>
      <c r="B111" s="109"/>
      <c r="C111" s="123"/>
      <c r="D111" s="110">
        <f>SUM(D101:D110)</f>
        <v>2672200</v>
      </c>
      <c r="E111" s="110">
        <f>SUM(E101:E110)</f>
        <v>1261500</v>
      </c>
      <c r="F111" s="110">
        <f>SUM(D111:E111)</f>
        <v>3933700</v>
      </c>
      <c r="G111" s="110">
        <f>SUM(G101:G110)</f>
        <v>3461800</v>
      </c>
      <c r="H111" s="110">
        <f>SUM(H101:H110)</f>
        <v>1431500</v>
      </c>
      <c r="I111" s="110">
        <f>SUM(G111:H111)</f>
        <v>4893300</v>
      </c>
    </row>
    <row r="112" spans="1:9">
      <c r="A112" s="108" t="s">
        <v>102</v>
      </c>
      <c r="B112" s="109"/>
      <c r="C112" s="109"/>
      <c r="D112" s="109"/>
      <c r="E112" s="109"/>
      <c r="F112" s="109"/>
      <c r="G112" s="109"/>
      <c r="H112" s="109"/>
      <c r="I112" s="113"/>
    </row>
    <row r="113" spans="1:9">
      <c r="A113" s="119">
        <v>36</v>
      </c>
      <c r="B113" s="119">
        <v>1</v>
      </c>
      <c r="C113" s="116" t="s">
        <v>103</v>
      </c>
      <c r="D113" s="106">
        <v>165000</v>
      </c>
      <c r="E113" s="106">
        <v>40000</v>
      </c>
      <c r="F113" s="117">
        <f>SUM(D113:E113)</f>
        <v>205000</v>
      </c>
      <c r="G113" s="106">
        <v>165000</v>
      </c>
      <c r="H113" s="106">
        <v>40000</v>
      </c>
      <c r="I113" s="117">
        <f>SUM(G113:H113)</f>
        <v>205000</v>
      </c>
    </row>
    <row r="114" spans="1:9">
      <c r="A114" s="119">
        <v>37</v>
      </c>
      <c r="B114" s="119">
        <v>2</v>
      </c>
      <c r="C114" s="116" t="s">
        <v>104</v>
      </c>
      <c r="D114" s="106">
        <f>0</f>
        <v>0</v>
      </c>
      <c r="E114" s="106">
        <f>0</f>
        <v>0</v>
      </c>
      <c r="F114" s="117">
        <f>SUM(D114:E114)</f>
        <v>0</v>
      </c>
      <c r="G114" s="106">
        <f>0</f>
        <v>0</v>
      </c>
      <c r="H114" s="106">
        <f>0</f>
        <v>0</v>
      </c>
      <c r="I114" s="117">
        <f>SUM(G114:H114)</f>
        <v>0</v>
      </c>
    </row>
    <row r="115" spans="1:9">
      <c r="A115" s="119">
        <v>38</v>
      </c>
      <c r="B115" s="119">
        <v>3</v>
      </c>
      <c r="C115" s="116" t="s">
        <v>105</v>
      </c>
      <c r="D115" s="106">
        <v>1253000</v>
      </c>
      <c r="E115" s="106">
        <f>0</f>
        <v>0</v>
      </c>
      <c r="F115" s="117">
        <f>SUM(D115:E115)</f>
        <v>1253000</v>
      </c>
      <c r="G115" s="106">
        <v>1253000</v>
      </c>
      <c r="H115" s="106">
        <f>0</f>
        <v>0</v>
      </c>
      <c r="I115" s="117">
        <f>SUM(G115:H115)</f>
        <v>1253000</v>
      </c>
    </row>
    <row r="116" spans="1:9">
      <c r="A116" s="119">
        <v>39</v>
      </c>
      <c r="B116" s="119">
        <v>5</v>
      </c>
      <c r="C116" s="116" t="s">
        <v>106</v>
      </c>
      <c r="D116" s="106">
        <v>288400</v>
      </c>
      <c r="E116" s="106">
        <v>120000</v>
      </c>
      <c r="F116" s="117">
        <f>SUM(D116:E116)</f>
        <v>408400</v>
      </c>
      <c r="G116" s="106">
        <v>288400</v>
      </c>
      <c r="H116" s="106">
        <v>120000</v>
      </c>
      <c r="I116" s="117">
        <f>SUM(G116:H116)</f>
        <v>408400</v>
      </c>
    </row>
    <row r="117" spans="1:9">
      <c r="A117" s="108" t="s">
        <v>58</v>
      </c>
      <c r="B117" s="109"/>
      <c r="C117" s="109"/>
      <c r="D117" s="110">
        <f>SUM(D113:D116)</f>
        <v>1706400</v>
      </c>
      <c r="E117" s="110">
        <f>SUM(E113:E116)</f>
        <v>160000</v>
      </c>
      <c r="F117" s="110">
        <f>SUM(D117:E117)</f>
        <v>1866400</v>
      </c>
      <c r="G117" s="110">
        <f>SUM(G113:G116)</f>
        <v>1706400</v>
      </c>
      <c r="H117" s="110">
        <f>SUM(H113:H116)</f>
        <v>160000</v>
      </c>
      <c r="I117" s="110">
        <f>SUM(G117:H117)</f>
        <v>1866400</v>
      </c>
    </row>
    <row r="118" spans="1:9">
      <c r="A118" s="108" t="s">
        <v>107</v>
      </c>
      <c r="B118" s="109"/>
      <c r="C118" s="109"/>
      <c r="D118" s="109"/>
      <c r="E118" s="109"/>
      <c r="F118" s="109"/>
      <c r="G118" s="109"/>
      <c r="H118" s="109"/>
      <c r="I118" s="113"/>
    </row>
    <row r="119" spans="1:9">
      <c r="A119" s="119">
        <v>40</v>
      </c>
      <c r="B119" s="119">
        <v>1</v>
      </c>
      <c r="C119" s="119" t="s">
        <v>108</v>
      </c>
      <c r="D119" s="106">
        <v>500000</v>
      </c>
      <c r="E119" s="106">
        <v>100000</v>
      </c>
      <c r="F119" s="117">
        <f>SUM(D119:E119)</f>
        <v>600000</v>
      </c>
      <c r="G119" s="106">
        <v>500000</v>
      </c>
      <c r="H119" s="106">
        <v>100000</v>
      </c>
      <c r="I119" s="117">
        <f>SUM(G119:H119)</f>
        <v>600000</v>
      </c>
    </row>
    <row r="120" spans="1:9">
      <c r="A120" s="108" t="s">
        <v>101</v>
      </c>
      <c r="B120" s="109"/>
      <c r="C120" s="109"/>
      <c r="D120" s="110">
        <f>D119</f>
        <v>500000</v>
      </c>
      <c r="E120" s="110">
        <f>E119</f>
        <v>100000</v>
      </c>
      <c r="F120" s="110">
        <f>SUM(D120:E120)</f>
        <v>600000</v>
      </c>
      <c r="G120" s="110">
        <f>G119</f>
        <v>500000</v>
      </c>
      <c r="H120" s="110">
        <f>H119</f>
        <v>100000</v>
      </c>
      <c r="I120" s="110">
        <f>SUM(G120:H120)</f>
        <v>600000</v>
      </c>
    </row>
    <row r="121" spans="1:9">
      <c r="A121" s="108" t="s">
        <v>109</v>
      </c>
      <c r="B121" s="109"/>
      <c r="C121" s="109"/>
      <c r="D121" s="109"/>
      <c r="E121" s="109"/>
      <c r="F121" s="109"/>
      <c r="G121" s="109"/>
      <c r="H121" s="109"/>
      <c r="I121" s="113"/>
    </row>
    <row r="122" spans="1:9">
      <c r="A122" s="119">
        <v>41</v>
      </c>
      <c r="B122" s="119">
        <v>1</v>
      </c>
      <c r="C122" s="121" t="s">
        <v>110</v>
      </c>
      <c r="D122" s="106">
        <v>1689705</v>
      </c>
      <c r="E122" s="106">
        <v>513400</v>
      </c>
      <c r="F122" s="117">
        <f>SUM(D122:E122)</f>
        <v>2203105</v>
      </c>
      <c r="G122" s="106">
        <v>1689705</v>
      </c>
      <c r="H122" s="106">
        <v>513400</v>
      </c>
      <c r="I122" s="117">
        <f>SUM(G122:H122)</f>
        <v>2203105</v>
      </c>
    </row>
    <row r="123" spans="1:9">
      <c r="A123" s="108" t="s">
        <v>101</v>
      </c>
      <c r="B123" s="109"/>
      <c r="C123" s="109"/>
      <c r="D123" s="110">
        <f>D122</f>
        <v>1689705</v>
      </c>
      <c r="E123" s="110">
        <f>E122</f>
        <v>513400</v>
      </c>
      <c r="F123" s="110">
        <f>SUM(D123:E123)</f>
        <v>2203105</v>
      </c>
      <c r="G123" s="110">
        <f>G122</f>
        <v>1689705</v>
      </c>
      <c r="H123" s="110">
        <f>H122</f>
        <v>513400</v>
      </c>
      <c r="I123" s="110">
        <f>SUM(G123:H123)</f>
        <v>2203105</v>
      </c>
    </row>
    <row r="124" spans="1:9">
      <c r="A124" s="108" t="s">
        <v>111</v>
      </c>
      <c r="B124" s="109"/>
      <c r="C124" s="109"/>
      <c r="D124" s="109"/>
      <c r="E124" s="109"/>
      <c r="F124" s="109"/>
      <c r="G124" s="109"/>
      <c r="H124" s="109"/>
      <c r="I124" s="113"/>
    </row>
    <row r="125" spans="1:9">
      <c r="A125" s="119">
        <v>42</v>
      </c>
      <c r="B125" s="119">
        <v>1</v>
      </c>
      <c r="C125" s="121" t="s">
        <v>112</v>
      </c>
      <c r="D125" s="106">
        <v>1672500</v>
      </c>
      <c r="E125" s="106">
        <v>649500</v>
      </c>
      <c r="F125" s="117">
        <f>SUM(D125:E125)</f>
        <v>2322000</v>
      </c>
      <c r="G125" s="106">
        <v>1672500</v>
      </c>
      <c r="H125" s="106">
        <v>649500</v>
      </c>
      <c r="I125" s="117">
        <f>SUM(G125:H125)</f>
        <v>2322000</v>
      </c>
    </row>
    <row r="126" spans="1:9">
      <c r="A126" s="119">
        <v>43</v>
      </c>
      <c r="B126" s="119">
        <v>2</v>
      </c>
      <c r="C126" s="121" t="s">
        <v>113</v>
      </c>
      <c r="D126" s="106">
        <f>0</f>
        <v>0</v>
      </c>
      <c r="E126" s="106">
        <v>330000</v>
      </c>
      <c r="F126" s="117">
        <f t="shared" ref="F126:F137" si="6">SUM(D126:E126)</f>
        <v>330000</v>
      </c>
      <c r="G126" s="106">
        <f>0</f>
        <v>0</v>
      </c>
      <c r="H126" s="106">
        <v>330000</v>
      </c>
      <c r="I126" s="117">
        <f t="shared" ref="I126:I144" si="7">SUM(G126:H126)</f>
        <v>330000</v>
      </c>
    </row>
    <row r="127" spans="1:9">
      <c r="A127" s="119">
        <v>44</v>
      </c>
      <c r="B127" s="119">
        <v>3</v>
      </c>
      <c r="C127" s="121" t="s">
        <v>114</v>
      </c>
      <c r="D127" s="106">
        <v>1623000</v>
      </c>
      <c r="E127" s="106">
        <f>0</f>
        <v>0</v>
      </c>
      <c r="F127" s="117">
        <f t="shared" si="6"/>
        <v>1623000</v>
      </c>
      <c r="G127" s="106">
        <v>1623000</v>
      </c>
      <c r="H127" s="106">
        <f>0</f>
        <v>0</v>
      </c>
      <c r="I127" s="117">
        <f t="shared" si="7"/>
        <v>1623000</v>
      </c>
    </row>
    <row r="128" spans="1:9">
      <c r="A128" s="119">
        <v>45</v>
      </c>
      <c r="B128" s="124">
        <v>4</v>
      </c>
      <c r="C128" s="125" t="s">
        <v>115</v>
      </c>
      <c r="D128" s="106">
        <f>0</f>
        <v>0</v>
      </c>
      <c r="E128" s="106">
        <f>0</f>
        <v>0</v>
      </c>
      <c r="F128" s="117">
        <f t="shared" si="6"/>
        <v>0</v>
      </c>
      <c r="G128" s="106">
        <f>0</f>
        <v>0</v>
      </c>
      <c r="H128" s="106">
        <v>224000</v>
      </c>
      <c r="I128" s="117">
        <f t="shared" si="7"/>
        <v>224000</v>
      </c>
    </row>
    <row r="129" spans="1:9">
      <c r="A129" s="119">
        <v>46</v>
      </c>
      <c r="B129" s="119">
        <v>5</v>
      </c>
      <c r="C129" s="125" t="s">
        <v>116</v>
      </c>
      <c r="D129" s="106">
        <v>505700</v>
      </c>
      <c r="E129" s="106">
        <v>161000</v>
      </c>
      <c r="F129" s="117">
        <f t="shared" si="6"/>
        <v>666700</v>
      </c>
      <c r="G129" s="106">
        <v>505700</v>
      </c>
      <c r="H129" s="106">
        <v>161000</v>
      </c>
      <c r="I129" s="117">
        <f t="shared" si="7"/>
        <v>666700</v>
      </c>
    </row>
    <row r="130" spans="1:9">
      <c r="A130" s="119">
        <v>47</v>
      </c>
      <c r="B130" s="119">
        <v>6</v>
      </c>
      <c r="C130" s="125" t="s">
        <v>117</v>
      </c>
      <c r="D130" s="106">
        <v>801817</v>
      </c>
      <c r="E130" s="106">
        <v>135000</v>
      </c>
      <c r="F130" s="117">
        <f t="shared" si="6"/>
        <v>936817</v>
      </c>
      <c r="G130" s="106">
        <v>801817</v>
      </c>
      <c r="H130" s="106">
        <v>135000</v>
      </c>
      <c r="I130" s="117">
        <f t="shared" si="7"/>
        <v>936817</v>
      </c>
    </row>
    <row r="131" spans="1:9">
      <c r="A131" s="119">
        <v>48</v>
      </c>
      <c r="B131" s="119">
        <v>7</v>
      </c>
      <c r="C131" s="125" t="s">
        <v>118</v>
      </c>
      <c r="D131" s="106">
        <v>718000</v>
      </c>
      <c r="E131" s="106">
        <v>150000</v>
      </c>
      <c r="F131" s="117">
        <f t="shared" si="6"/>
        <v>868000</v>
      </c>
      <c r="G131" s="106">
        <v>720000</v>
      </c>
      <c r="H131" s="106">
        <v>150000</v>
      </c>
      <c r="I131" s="117">
        <f t="shared" si="7"/>
        <v>870000</v>
      </c>
    </row>
    <row r="132" spans="1:9">
      <c r="A132" s="119">
        <v>49</v>
      </c>
      <c r="B132" s="119">
        <v>8</v>
      </c>
      <c r="C132" s="121" t="s">
        <v>119</v>
      </c>
      <c r="D132" s="106">
        <v>615000</v>
      </c>
      <c r="E132" s="106">
        <v>185000</v>
      </c>
      <c r="F132" s="117">
        <f t="shared" si="6"/>
        <v>800000</v>
      </c>
      <c r="G132" s="106">
        <v>615000</v>
      </c>
      <c r="H132" s="106">
        <v>100000</v>
      </c>
      <c r="I132" s="117">
        <f t="shared" si="7"/>
        <v>715000</v>
      </c>
    </row>
    <row r="133" spans="1:9">
      <c r="A133" s="119">
        <v>50</v>
      </c>
      <c r="B133" s="119">
        <v>9</v>
      </c>
      <c r="C133" s="121" t="s">
        <v>120</v>
      </c>
      <c r="D133" s="106">
        <v>554000</v>
      </c>
      <c r="E133" s="106">
        <v>220000</v>
      </c>
      <c r="F133" s="117">
        <f t="shared" si="6"/>
        <v>774000</v>
      </c>
      <c r="G133" s="106">
        <v>554000</v>
      </c>
      <c r="H133" s="106">
        <v>220000</v>
      </c>
      <c r="I133" s="117">
        <f t="shared" si="7"/>
        <v>774000</v>
      </c>
    </row>
    <row r="134" spans="1:9">
      <c r="A134" s="119">
        <v>51</v>
      </c>
      <c r="B134" s="119">
        <v>10</v>
      </c>
      <c r="C134" s="121" t="s">
        <v>121</v>
      </c>
      <c r="D134" s="106">
        <f>0</f>
        <v>0</v>
      </c>
      <c r="E134" s="106">
        <v>608335</v>
      </c>
      <c r="F134" s="117">
        <f t="shared" si="6"/>
        <v>608335</v>
      </c>
      <c r="G134" s="106">
        <f>0</f>
        <v>0</v>
      </c>
      <c r="H134" s="106">
        <v>608335</v>
      </c>
      <c r="I134" s="117">
        <f t="shared" si="7"/>
        <v>608335</v>
      </c>
    </row>
    <row r="135" spans="1:9">
      <c r="A135" s="119">
        <v>52</v>
      </c>
      <c r="B135" s="119">
        <v>11</v>
      </c>
      <c r="C135" s="121" t="s">
        <v>122</v>
      </c>
      <c r="D135" s="106">
        <v>1430000</v>
      </c>
      <c r="E135" s="106">
        <f>0</f>
        <v>0</v>
      </c>
      <c r="F135" s="117">
        <f t="shared" si="6"/>
        <v>1430000</v>
      </c>
      <c r="G135" s="106">
        <v>1430000</v>
      </c>
      <c r="H135" s="106">
        <f>0</f>
        <v>0</v>
      </c>
      <c r="I135" s="117">
        <f t="shared" si="7"/>
        <v>1430000</v>
      </c>
    </row>
    <row r="136" spans="1:9">
      <c r="A136" s="119">
        <v>53</v>
      </c>
      <c r="B136" s="119">
        <v>12</v>
      </c>
      <c r="C136" s="121" t="s">
        <v>123</v>
      </c>
      <c r="D136" s="106">
        <v>1892000</v>
      </c>
      <c r="E136" s="106">
        <f>0</f>
        <v>0</v>
      </c>
      <c r="F136" s="117">
        <f t="shared" si="6"/>
        <v>1892000</v>
      </c>
      <c r="G136" s="106">
        <v>1675000</v>
      </c>
      <c r="H136" s="106">
        <f>0</f>
        <v>0</v>
      </c>
      <c r="I136" s="117">
        <f t="shared" si="7"/>
        <v>1675000</v>
      </c>
    </row>
    <row r="137" spans="1:9">
      <c r="A137" s="119">
        <v>54</v>
      </c>
      <c r="B137" s="119">
        <v>13</v>
      </c>
      <c r="C137" s="121" t="s">
        <v>124</v>
      </c>
      <c r="D137" s="106">
        <v>826500</v>
      </c>
      <c r="E137" s="106">
        <v>173500</v>
      </c>
      <c r="F137" s="117">
        <f t="shared" si="6"/>
        <v>1000000</v>
      </c>
      <c r="G137" s="106">
        <v>826500</v>
      </c>
      <c r="H137" s="106">
        <v>173500</v>
      </c>
      <c r="I137" s="117">
        <f t="shared" si="7"/>
        <v>1000000</v>
      </c>
    </row>
    <row r="138" spans="1:9">
      <c r="A138" s="119">
        <v>55</v>
      </c>
      <c r="B138" s="119">
        <v>14</v>
      </c>
      <c r="C138" s="121" t="s">
        <v>125</v>
      </c>
      <c r="D138" s="106">
        <v>229000</v>
      </c>
      <c r="E138" s="106">
        <v>160000</v>
      </c>
      <c r="F138" s="117">
        <f>SUM(D138:E138)</f>
        <v>389000</v>
      </c>
      <c r="G138" s="106">
        <v>229000</v>
      </c>
      <c r="H138" s="106">
        <v>150000</v>
      </c>
      <c r="I138" s="117">
        <f>SUM(G138:H138)</f>
        <v>379000</v>
      </c>
    </row>
    <row r="139" spans="1:9">
      <c r="A139" s="119">
        <v>56</v>
      </c>
      <c r="B139" s="119">
        <v>15</v>
      </c>
      <c r="C139" s="121" t="s">
        <v>126</v>
      </c>
      <c r="D139" s="106">
        <f>0</f>
        <v>0</v>
      </c>
      <c r="E139" s="106">
        <f>0</f>
        <v>0</v>
      </c>
      <c r="F139" s="117">
        <f t="shared" ref="F139:F144" si="8">SUM(D139:E139)</f>
        <v>0</v>
      </c>
      <c r="G139" s="106">
        <v>1478882</v>
      </c>
      <c r="H139" s="106">
        <v>220000</v>
      </c>
      <c r="I139" s="117">
        <f t="shared" si="7"/>
        <v>1698882</v>
      </c>
    </row>
    <row r="140" spans="1:9">
      <c r="A140" s="119">
        <v>57</v>
      </c>
      <c r="B140" s="119">
        <v>16</v>
      </c>
      <c r="C140" s="121" t="s">
        <v>127</v>
      </c>
      <c r="D140" s="106">
        <v>1150000</v>
      </c>
      <c r="E140" s="106">
        <f>0</f>
        <v>0</v>
      </c>
      <c r="F140" s="117">
        <f t="shared" si="8"/>
        <v>1150000</v>
      </c>
      <c r="G140" s="106">
        <v>1116000</v>
      </c>
      <c r="H140" s="106">
        <f>0</f>
        <v>0</v>
      </c>
      <c r="I140" s="117">
        <f t="shared" si="7"/>
        <v>1116000</v>
      </c>
    </row>
    <row r="141" spans="1:9">
      <c r="A141" s="119">
        <v>58</v>
      </c>
      <c r="B141" s="119">
        <v>17</v>
      </c>
      <c r="C141" s="121" t="s">
        <v>128</v>
      </c>
      <c r="D141" s="106">
        <v>765000</v>
      </c>
      <c r="E141" s="106">
        <f>0</f>
        <v>0</v>
      </c>
      <c r="F141" s="117">
        <f t="shared" si="8"/>
        <v>765000</v>
      </c>
      <c r="G141" s="106">
        <v>765000</v>
      </c>
      <c r="H141" s="106">
        <f>0</f>
        <v>0</v>
      </c>
      <c r="I141" s="117">
        <f t="shared" si="7"/>
        <v>765000</v>
      </c>
    </row>
    <row r="142" spans="1:9">
      <c r="A142" s="119">
        <v>59</v>
      </c>
      <c r="B142" s="119">
        <v>18</v>
      </c>
      <c r="C142" s="121" t="s">
        <v>129</v>
      </c>
      <c r="D142" s="106">
        <v>1246938</v>
      </c>
      <c r="E142" s="106">
        <v>120000</v>
      </c>
      <c r="F142" s="117">
        <f t="shared" si="8"/>
        <v>1366938</v>
      </c>
      <c r="G142" s="106">
        <v>1247000</v>
      </c>
      <c r="H142" s="106">
        <v>120000</v>
      </c>
      <c r="I142" s="117">
        <f t="shared" si="7"/>
        <v>1367000</v>
      </c>
    </row>
    <row r="143" spans="1:9">
      <c r="A143" s="119">
        <v>60</v>
      </c>
      <c r="B143" s="119">
        <v>19</v>
      </c>
      <c r="C143" s="121" t="s">
        <v>130</v>
      </c>
      <c r="D143" s="106">
        <v>162750</v>
      </c>
      <c r="E143" s="106">
        <v>270000</v>
      </c>
      <c r="F143" s="117">
        <f t="shared" si="8"/>
        <v>432750</v>
      </c>
      <c r="G143" s="106">
        <v>162750</v>
      </c>
      <c r="H143" s="106">
        <v>270000</v>
      </c>
      <c r="I143" s="117">
        <f t="shared" si="7"/>
        <v>432750</v>
      </c>
    </row>
    <row r="144" spans="1:9">
      <c r="A144" s="119">
        <v>61</v>
      </c>
      <c r="B144" s="119">
        <v>20</v>
      </c>
      <c r="C144" s="121" t="s">
        <v>131</v>
      </c>
      <c r="D144" s="106">
        <v>616413</v>
      </c>
      <c r="E144" s="106">
        <v>312100</v>
      </c>
      <c r="F144" s="117">
        <f t="shared" si="8"/>
        <v>928513</v>
      </c>
      <c r="G144" s="106">
        <v>616413</v>
      </c>
      <c r="H144" s="106">
        <v>312100</v>
      </c>
      <c r="I144" s="117">
        <f t="shared" si="7"/>
        <v>928513</v>
      </c>
    </row>
    <row r="145" spans="1:9">
      <c r="A145" s="108" t="s">
        <v>58</v>
      </c>
      <c r="B145" s="109"/>
      <c r="C145" s="109"/>
      <c r="D145" s="110">
        <f>SUM(D125:D144)</f>
        <v>14808618</v>
      </c>
      <c r="E145" s="110">
        <f>SUM(E125:E144)</f>
        <v>3474435</v>
      </c>
      <c r="F145" s="110">
        <f>SUM(D145:E145)</f>
        <v>18283053</v>
      </c>
      <c r="G145" s="110">
        <f>SUM(G125:G144)</f>
        <v>16038562</v>
      </c>
      <c r="H145" s="110">
        <f>SUM(H125:H144)</f>
        <v>3823435</v>
      </c>
      <c r="I145" s="110">
        <f>SUM(G145:H145)</f>
        <v>19861997</v>
      </c>
    </row>
    <row r="146" spans="1:9">
      <c r="A146" s="126" t="s">
        <v>132</v>
      </c>
      <c r="B146" s="127"/>
      <c r="C146" s="127"/>
      <c r="D146" s="127"/>
      <c r="E146" s="127"/>
      <c r="F146" s="127"/>
      <c r="G146" s="127"/>
      <c r="H146" s="127"/>
      <c r="I146" s="128"/>
    </row>
    <row r="147" spans="1:9">
      <c r="A147" s="119">
        <v>62</v>
      </c>
      <c r="B147" s="119">
        <v>1</v>
      </c>
      <c r="C147" s="125" t="s">
        <v>133</v>
      </c>
      <c r="D147" s="106">
        <v>1476960</v>
      </c>
      <c r="E147" s="106">
        <v>861900</v>
      </c>
      <c r="F147" s="117">
        <f>SUM(D147:E147)</f>
        <v>2338860</v>
      </c>
      <c r="G147" s="106">
        <v>1599760</v>
      </c>
      <c r="H147" s="106">
        <v>925800</v>
      </c>
      <c r="I147" s="117">
        <f>SUM(G147:H147)</f>
        <v>2525560</v>
      </c>
    </row>
    <row r="148" spans="1:9">
      <c r="A148" s="119">
        <v>63</v>
      </c>
      <c r="B148" s="119">
        <v>2</v>
      </c>
      <c r="C148" s="125" t="s">
        <v>134</v>
      </c>
      <c r="D148" s="106">
        <v>333000</v>
      </c>
      <c r="E148" s="106">
        <v>291500</v>
      </c>
      <c r="F148" s="117">
        <f t="shared" ref="F148:F166" si="9">SUM(D148:E148)</f>
        <v>624500</v>
      </c>
      <c r="G148" s="106">
        <v>333000</v>
      </c>
      <c r="H148" s="106">
        <v>291500</v>
      </c>
      <c r="I148" s="117">
        <f t="shared" ref="I148:I166" si="10">SUM(G148:H148)</f>
        <v>624500</v>
      </c>
    </row>
    <row r="149" spans="1:9">
      <c r="A149" s="119">
        <v>64</v>
      </c>
      <c r="B149" s="119">
        <v>3</v>
      </c>
      <c r="C149" s="125" t="s">
        <v>135</v>
      </c>
      <c r="D149" s="106">
        <v>1425700</v>
      </c>
      <c r="E149" s="106">
        <v>1257500</v>
      </c>
      <c r="F149" s="117">
        <f t="shared" si="9"/>
        <v>2683200</v>
      </c>
      <c r="G149" s="106">
        <f>0</f>
        <v>0</v>
      </c>
      <c r="H149" s="106">
        <f>0</f>
        <v>0</v>
      </c>
      <c r="I149" s="117">
        <f t="shared" si="10"/>
        <v>0</v>
      </c>
    </row>
    <row r="150" spans="1:9">
      <c r="A150" s="119">
        <v>65</v>
      </c>
      <c r="B150" s="119">
        <v>4</v>
      </c>
      <c r="C150" s="125" t="s">
        <v>136</v>
      </c>
      <c r="D150" s="106">
        <v>290000</v>
      </c>
      <c r="E150" s="106">
        <f>0</f>
        <v>0</v>
      </c>
      <c r="F150" s="117">
        <f t="shared" si="9"/>
        <v>290000</v>
      </c>
      <c r="G150" s="106">
        <f>0</f>
        <v>0</v>
      </c>
      <c r="H150" s="106">
        <v>290000</v>
      </c>
      <c r="I150" s="117">
        <f t="shared" si="10"/>
        <v>290000</v>
      </c>
    </row>
    <row r="151" spans="1:9">
      <c r="A151" s="119">
        <v>66</v>
      </c>
      <c r="B151" s="119">
        <v>5</v>
      </c>
      <c r="C151" s="129" t="s">
        <v>137</v>
      </c>
      <c r="D151" s="106">
        <f>0</f>
        <v>0</v>
      </c>
      <c r="E151" s="106">
        <f>0</f>
        <v>0</v>
      </c>
      <c r="F151" s="117">
        <f t="shared" si="9"/>
        <v>0</v>
      </c>
      <c r="G151" s="106">
        <f>0</f>
        <v>0</v>
      </c>
      <c r="H151" s="106">
        <f>0</f>
        <v>0</v>
      </c>
      <c r="I151" s="117">
        <f t="shared" si="10"/>
        <v>0</v>
      </c>
    </row>
    <row r="152" spans="1:9">
      <c r="A152" s="119">
        <v>67</v>
      </c>
      <c r="B152" s="119">
        <v>6</v>
      </c>
      <c r="C152" s="125" t="s">
        <v>138</v>
      </c>
      <c r="D152" s="106">
        <v>794000</v>
      </c>
      <c r="E152" s="106">
        <v>1466000</v>
      </c>
      <c r="F152" s="117">
        <f t="shared" si="9"/>
        <v>2260000</v>
      </c>
      <c r="G152" s="106">
        <v>794000</v>
      </c>
      <c r="H152" s="106">
        <v>1446000</v>
      </c>
      <c r="I152" s="117">
        <f t="shared" si="10"/>
        <v>2240000</v>
      </c>
    </row>
    <row r="153" spans="1:9">
      <c r="A153" s="119">
        <v>68</v>
      </c>
      <c r="B153" s="119">
        <v>7</v>
      </c>
      <c r="C153" s="125" t="s">
        <v>139</v>
      </c>
      <c r="D153" s="106">
        <v>320000</v>
      </c>
      <c r="E153" s="106">
        <v>402000</v>
      </c>
      <c r="F153" s="117">
        <f t="shared" si="9"/>
        <v>722000</v>
      </c>
      <c r="G153" s="106">
        <v>400000</v>
      </c>
      <c r="H153" s="106">
        <v>438400</v>
      </c>
      <c r="I153" s="117">
        <f t="shared" si="10"/>
        <v>838400</v>
      </c>
    </row>
    <row r="154" spans="1:9">
      <c r="A154" s="119">
        <v>69</v>
      </c>
      <c r="B154" s="119">
        <v>8</v>
      </c>
      <c r="C154" s="125" t="s">
        <v>140</v>
      </c>
      <c r="D154" s="106">
        <v>561675</v>
      </c>
      <c r="E154" s="106">
        <v>1085000</v>
      </c>
      <c r="F154" s="117">
        <f t="shared" si="9"/>
        <v>1646675</v>
      </c>
      <c r="G154" s="106">
        <v>561675</v>
      </c>
      <c r="H154" s="106">
        <v>1085000</v>
      </c>
      <c r="I154" s="117">
        <f t="shared" si="10"/>
        <v>1646675</v>
      </c>
    </row>
    <row r="155" spans="1:9">
      <c r="A155" s="119">
        <v>70</v>
      </c>
      <c r="B155" s="119">
        <v>9</v>
      </c>
      <c r="C155" s="125" t="s">
        <v>141</v>
      </c>
      <c r="D155" s="106">
        <v>648400</v>
      </c>
      <c r="E155" s="106">
        <v>525000</v>
      </c>
      <c r="F155" s="117">
        <f t="shared" si="9"/>
        <v>1173400</v>
      </c>
      <c r="G155" s="106">
        <v>349000</v>
      </c>
      <c r="H155" s="106">
        <v>525000</v>
      </c>
      <c r="I155" s="117">
        <f t="shared" si="10"/>
        <v>874000</v>
      </c>
    </row>
    <row r="156" spans="1:9">
      <c r="A156" s="119">
        <v>71</v>
      </c>
      <c r="B156" s="119">
        <v>10</v>
      </c>
      <c r="C156" s="125" t="s">
        <v>142</v>
      </c>
      <c r="D156" s="106">
        <v>357100</v>
      </c>
      <c r="E156" s="106">
        <v>109000</v>
      </c>
      <c r="F156" s="117">
        <f t="shared" si="9"/>
        <v>466100</v>
      </c>
      <c r="G156" s="106">
        <v>357100</v>
      </c>
      <c r="H156" s="106">
        <v>109000</v>
      </c>
      <c r="I156" s="117">
        <f t="shared" si="10"/>
        <v>466100</v>
      </c>
    </row>
    <row r="157" spans="1:9">
      <c r="A157" s="119">
        <v>72</v>
      </c>
      <c r="B157" s="119">
        <v>11</v>
      </c>
      <c r="C157" s="125" t="s">
        <v>143</v>
      </c>
      <c r="D157" s="106">
        <f>0</f>
        <v>0</v>
      </c>
      <c r="E157" s="106">
        <f>0</f>
        <v>0</v>
      </c>
      <c r="F157" s="117">
        <f t="shared" si="9"/>
        <v>0</v>
      </c>
      <c r="G157" s="106">
        <f>0</f>
        <v>0</v>
      </c>
      <c r="H157" s="106">
        <f>0</f>
        <v>0</v>
      </c>
      <c r="I157" s="117">
        <f t="shared" si="10"/>
        <v>0</v>
      </c>
    </row>
    <row r="158" spans="1:9">
      <c r="A158" s="119">
        <v>73</v>
      </c>
      <c r="B158" s="119">
        <v>12</v>
      </c>
      <c r="C158" s="125" t="s">
        <v>144</v>
      </c>
      <c r="D158" s="106">
        <v>255000</v>
      </c>
      <c r="E158" s="106">
        <v>834000</v>
      </c>
      <c r="F158" s="117">
        <f t="shared" si="9"/>
        <v>1089000</v>
      </c>
      <c r="G158" s="106">
        <v>255000</v>
      </c>
      <c r="H158" s="106">
        <v>834000</v>
      </c>
      <c r="I158" s="117">
        <f t="shared" si="10"/>
        <v>1089000</v>
      </c>
    </row>
    <row r="159" spans="1:9">
      <c r="A159" s="119">
        <v>74</v>
      </c>
      <c r="B159" s="119">
        <v>13</v>
      </c>
      <c r="C159" s="125" t="s">
        <v>145</v>
      </c>
      <c r="D159" s="106">
        <f>0</f>
        <v>0</v>
      </c>
      <c r="E159" s="106">
        <v>500000</v>
      </c>
      <c r="F159" s="117">
        <f t="shared" si="9"/>
        <v>500000</v>
      </c>
      <c r="G159" s="106">
        <f>0</f>
        <v>0</v>
      </c>
      <c r="H159" s="106">
        <v>500000</v>
      </c>
      <c r="I159" s="117">
        <f t="shared" si="10"/>
        <v>500000</v>
      </c>
    </row>
    <row r="160" spans="1:9">
      <c r="A160" s="119">
        <v>75</v>
      </c>
      <c r="B160" s="119">
        <v>14</v>
      </c>
      <c r="C160" s="129" t="s">
        <v>146</v>
      </c>
      <c r="D160" s="106">
        <f>0</f>
        <v>0</v>
      </c>
      <c r="E160" s="106">
        <f>1090000+1090000+1090000+1090000</f>
        <v>4360000</v>
      </c>
      <c r="F160" s="117">
        <f t="shared" si="9"/>
        <v>4360000</v>
      </c>
      <c r="G160" s="106">
        <f>0</f>
        <v>0</v>
      </c>
      <c r="H160" s="106">
        <f>0</f>
        <v>0</v>
      </c>
      <c r="I160" s="117">
        <f t="shared" si="10"/>
        <v>0</v>
      </c>
    </row>
    <row r="161" spans="1:9">
      <c r="A161" s="119">
        <v>76</v>
      </c>
      <c r="B161" s="119">
        <v>15</v>
      </c>
      <c r="C161" s="125" t="s">
        <v>147</v>
      </c>
      <c r="D161" s="106">
        <f>0</f>
        <v>0</v>
      </c>
      <c r="E161" s="106">
        <v>1086000</v>
      </c>
      <c r="F161" s="117">
        <f t="shared" si="9"/>
        <v>1086000</v>
      </c>
      <c r="G161" s="106">
        <f>0</f>
        <v>0</v>
      </c>
      <c r="H161" s="106">
        <v>1091000</v>
      </c>
      <c r="I161" s="117">
        <f t="shared" si="10"/>
        <v>1091000</v>
      </c>
    </row>
    <row r="162" spans="1:9">
      <c r="A162" s="119">
        <v>77</v>
      </c>
      <c r="B162" s="119">
        <v>16</v>
      </c>
      <c r="C162" s="125" t="s">
        <v>148</v>
      </c>
      <c r="D162" s="106">
        <f>0</f>
        <v>0</v>
      </c>
      <c r="E162" s="106">
        <v>2434000</v>
      </c>
      <c r="F162" s="117">
        <f t="shared" si="9"/>
        <v>2434000</v>
      </c>
      <c r="G162" s="106">
        <f>0</f>
        <v>0</v>
      </c>
      <c r="H162" s="106">
        <v>2434000</v>
      </c>
      <c r="I162" s="117">
        <f t="shared" si="10"/>
        <v>2434000</v>
      </c>
    </row>
    <row r="163" spans="1:9">
      <c r="A163" s="119">
        <v>78</v>
      </c>
      <c r="B163" s="119">
        <v>17</v>
      </c>
      <c r="C163" s="125" t="s">
        <v>149</v>
      </c>
      <c r="D163" s="106">
        <v>763000</v>
      </c>
      <c r="E163" s="106">
        <f>0</f>
        <v>0</v>
      </c>
      <c r="F163" s="117">
        <f t="shared" si="9"/>
        <v>763000</v>
      </c>
      <c r="G163" s="106">
        <f>0</f>
        <v>0</v>
      </c>
      <c r="H163" s="106">
        <f>0</f>
        <v>0</v>
      </c>
      <c r="I163" s="117">
        <f t="shared" si="10"/>
        <v>0</v>
      </c>
    </row>
    <row r="164" spans="1:9">
      <c r="A164" s="119">
        <v>79</v>
      </c>
      <c r="B164" s="119">
        <v>18</v>
      </c>
      <c r="C164" s="121" t="s">
        <v>150</v>
      </c>
      <c r="D164" s="106">
        <f>0</f>
        <v>0</v>
      </c>
      <c r="E164" s="106">
        <f>0</f>
        <v>0</v>
      </c>
      <c r="F164" s="117">
        <f t="shared" si="9"/>
        <v>0</v>
      </c>
      <c r="G164" s="106">
        <v>229042</v>
      </c>
      <c r="H164" s="106">
        <v>2890522</v>
      </c>
      <c r="I164" s="117">
        <f t="shared" si="10"/>
        <v>3119564</v>
      </c>
    </row>
    <row r="165" spans="1:9">
      <c r="A165" s="119">
        <v>80</v>
      </c>
      <c r="B165" s="119">
        <v>19</v>
      </c>
      <c r="C165" s="121" t="s">
        <v>151</v>
      </c>
      <c r="D165" s="106">
        <v>273000</v>
      </c>
      <c r="E165" s="106">
        <v>733000</v>
      </c>
      <c r="F165" s="117">
        <f t="shared" si="9"/>
        <v>1006000</v>
      </c>
      <c r="G165" s="106">
        <v>273000</v>
      </c>
      <c r="H165" s="106">
        <v>738000</v>
      </c>
      <c r="I165" s="117">
        <f t="shared" si="10"/>
        <v>1011000</v>
      </c>
    </row>
    <row r="166" spans="1:9">
      <c r="A166" s="119">
        <v>81</v>
      </c>
      <c r="B166" s="119">
        <v>20</v>
      </c>
      <c r="C166" s="121" t="s">
        <v>152</v>
      </c>
      <c r="D166" s="106">
        <v>309000</v>
      </c>
      <c r="E166" s="106">
        <v>698000</v>
      </c>
      <c r="F166" s="117">
        <f t="shared" si="9"/>
        <v>1007000</v>
      </c>
      <c r="G166" s="106">
        <v>309000</v>
      </c>
      <c r="H166" s="106">
        <v>703000</v>
      </c>
      <c r="I166" s="117">
        <f t="shared" si="10"/>
        <v>1012000</v>
      </c>
    </row>
    <row r="167" spans="1:9">
      <c r="A167" s="108" t="s">
        <v>58</v>
      </c>
      <c r="B167" s="109"/>
      <c r="C167" s="109"/>
      <c r="D167" s="110">
        <f>SUM(D147:D166)</f>
        <v>7806835</v>
      </c>
      <c r="E167" s="110">
        <f>SUM(E147:E166)</f>
        <v>16642900</v>
      </c>
      <c r="F167" s="110">
        <f>SUM(D167:E167)</f>
        <v>24449735</v>
      </c>
      <c r="G167" s="110">
        <f>SUM(G147:G166)</f>
        <v>5460577</v>
      </c>
      <c r="H167" s="110">
        <f>SUM(H147:H166)</f>
        <v>14301222</v>
      </c>
      <c r="I167" s="110">
        <f>SUM(G167:H167)</f>
        <v>19761799</v>
      </c>
    </row>
    <row r="168" spans="1:9">
      <c r="A168" s="108" t="s">
        <v>153</v>
      </c>
      <c r="B168" s="109"/>
      <c r="C168" s="109"/>
      <c r="D168" s="109"/>
      <c r="E168" s="109"/>
      <c r="F168" s="109"/>
      <c r="G168" s="109"/>
      <c r="H168" s="109"/>
      <c r="I168" s="113"/>
    </row>
    <row r="169" spans="1:9">
      <c r="A169" s="119">
        <v>82</v>
      </c>
      <c r="B169" s="119">
        <v>1</v>
      </c>
      <c r="C169" s="121" t="s">
        <v>154</v>
      </c>
      <c r="D169" s="106">
        <v>828175</v>
      </c>
      <c r="E169" s="106">
        <v>108500</v>
      </c>
      <c r="F169" s="117">
        <f>SUM(D169:E169)</f>
        <v>936675</v>
      </c>
      <c r="G169" s="106">
        <v>1236910</v>
      </c>
      <c r="H169" s="106">
        <v>108500</v>
      </c>
      <c r="I169" s="117">
        <f>SUM(G169:H169)</f>
        <v>1345410</v>
      </c>
    </row>
    <row r="170" spans="1:9">
      <c r="A170" s="119">
        <v>83</v>
      </c>
      <c r="B170" s="119">
        <v>2</v>
      </c>
      <c r="C170" s="121" t="s">
        <v>155</v>
      </c>
      <c r="D170" s="106">
        <f>0</f>
        <v>0</v>
      </c>
      <c r="E170" s="106">
        <v>30000</v>
      </c>
      <c r="F170" s="117">
        <f t="shared" ref="F170:F188" si="11">SUM(D170:E170)</f>
        <v>30000</v>
      </c>
      <c r="G170" s="106">
        <f>0</f>
        <v>0</v>
      </c>
      <c r="H170" s="106">
        <v>30000</v>
      </c>
      <c r="I170" s="117">
        <f t="shared" ref="I170:I191" si="12">SUM(G170:H170)</f>
        <v>30000</v>
      </c>
    </row>
    <row r="171" spans="1:9">
      <c r="A171" s="119">
        <v>84</v>
      </c>
      <c r="B171" s="119">
        <v>3</v>
      </c>
      <c r="C171" s="121" t="s">
        <v>156</v>
      </c>
      <c r="D171" s="106">
        <f>0</f>
        <v>0</v>
      </c>
      <c r="E171" s="106">
        <f>45000+270000</f>
        <v>315000</v>
      </c>
      <c r="F171" s="117">
        <f t="shared" si="11"/>
        <v>315000</v>
      </c>
      <c r="G171" s="106">
        <f>0</f>
        <v>0</v>
      </c>
      <c r="H171" s="106">
        <f>265000+45000</f>
        <v>310000</v>
      </c>
      <c r="I171" s="117">
        <f t="shared" si="12"/>
        <v>310000</v>
      </c>
    </row>
    <row r="172" spans="1:9">
      <c r="A172" s="119">
        <v>85</v>
      </c>
      <c r="B172" s="119">
        <v>4</v>
      </c>
      <c r="C172" s="121" t="s">
        <v>157</v>
      </c>
      <c r="D172" s="106">
        <v>1165000</v>
      </c>
      <c r="E172" s="106">
        <v>170000</v>
      </c>
      <c r="F172" s="117">
        <f t="shared" si="11"/>
        <v>1335000</v>
      </c>
      <c r="G172" s="106">
        <v>700000</v>
      </c>
      <c r="H172" s="106">
        <v>150000</v>
      </c>
      <c r="I172" s="117">
        <f t="shared" si="12"/>
        <v>850000</v>
      </c>
    </row>
    <row r="173" spans="1:9">
      <c r="A173" s="119">
        <v>86</v>
      </c>
      <c r="B173" s="119">
        <v>5</v>
      </c>
      <c r="C173" s="121" t="s">
        <v>158</v>
      </c>
      <c r="D173" s="106">
        <f>0</f>
        <v>0</v>
      </c>
      <c r="E173" s="106">
        <f>0</f>
        <v>0</v>
      </c>
      <c r="F173" s="117">
        <f t="shared" si="11"/>
        <v>0</v>
      </c>
      <c r="G173" s="106">
        <f>0</f>
        <v>0</v>
      </c>
      <c r="H173" s="106">
        <f>0</f>
        <v>0</v>
      </c>
      <c r="I173" s="117">
        <f t="shared" si="12"/>
        <v>0</v>
      </c>
    </row>
    <row r="174" spans="1:9">
      <c r="A174" s="119">
        <v>87</v>
      </c>
      <c r="B174" s="119">
        <v>6</v>
      </c>
      <c r="C174" s="125" t="s">
        <v>159</v>
      </c>
      <c r="D174" s="106">
        <v>20000000</v>
      </c>
      <c r="E174" s="106">
        <f>0</f>
        <v>0</v>
      </c>
      <c r="F174" s="117">
        <f t="shared" si="11"/>
        <v>20000000</v>
      </c>
      <c r="G174" s="106">
        <v>20000000</v>
      </c>
      <c r="H174" s="106">
        <f>0</f>
        <v>0</v>
      </c>
      <c r="I174" s="117">
        <f t="shared" si="12"/>
        <v>20000000</v>
      </c>
    </row>
    <row r="175" spans="1:9">
      <c r="A175" s="119">
        <v>88</v>
      </c>
      <c r="B175" s="119">
        <v>7</v>
      </c>
      <c r="C175" s="121" t="s">
        <v>160</v>
      </c>
      <c r="D175" s="106">
        <f>0</f>
        <v>0</v>
      </c>
      <c r="E175" s="106">
        <f>0</f>
        <v>0</v>
      </c>
      <c r="F175" s="117">
        <f t="shared" si="11"/>
        <v>0</v>
      </c>
      <c r="G175" s="106">
        <f>0</f>
        <v>0</v>
      </c>
      <c r="H175" s="106">
        <f>0</f>
        <v>0</v>
      </c>
      <c r="I175" s="117">
        <f t="shared" si="12"/>
        <v>0</v>
      </c>
    </row>
    <row r="176" spans="1:9">
      <c r="A176" s="119">
        <v>89</v>
      </c>
      <c r="B176" s="119">
        <v>8</v>
      </c>
      <c r="C176" s="121" t="s">
        <v>161</v>
      </c>
      <c r="D176" s="106">
        <f>0</f>
        <v>0</v>
      </c>
      <c r="E176" s="106">
        <f>0</f>
        <v>0</v>
      </c>
      <c r="F176" s="117">
        <f t="shared" si="11"/>
        <v>0</v>
      </c>
      <c r="G176" s="106">
        <f>0</f>
        <v>0</v>
      </c>
      <c r="H176" s="106">
        <f>0</f>
        <v>0</v>
      </c>
      <c r="I176" s="117">
        <f t="shared" si="12"/>
        <v>0</v>
      </c>
    </row>
    <row r="177" spans="1:9">
      <c r="A177" s="119">
        <v>90</v>
      </c>
      <c r="B177" s="119">
        <v>9</v>
      </c>
      <c r="C177" s="121" t="s">
        <v>162</v>
      </c>
      <c r="D177" s="106">
        <f>0</f>
        <v>0</v>
      </c>
      <c r="E177" s="106">
        <f>0</f>
        <v>0</v>
      </c>
      <c r="F177" s="117">
        <f t="shared" si="11"/>
        <v>0</v>
      </c>
      <c r="G177" s="106">
        <f>0</f>
        <v>0</v>
      </c>
      <c r="H177" s="106">
        <f>0</f>
        <v>0</v>
      </c>
      <c r="I177" s="117">
        <f t="shared" si="12"/>
        <v>0</v>
      </c>
    </row>
    <row r="178" spans="1:9">
      <c r="A178" s="119">
        <v>91</v>
      </c>
      <c r="B178" s="119">
        <v>10</v>
      </c>
      <c r="C178" s="121" t="s">
        <v>163</v>
      </c>
      <c r="D178" s="106">
        <v>1500</v>
      </c>
      <c r="E178" s="106">
        <v>25000</v>
      </c>
      <c r="F178" s="117">
        <f t="shared" si="11"/>
        <v>26500</v>
      </c>
      <c r="G178" s="106">
        <f>0</f>
        <v>0</v>
      </c>
      <c r="H178" s="106">
        <f>0</f>
        <v>0</v>
      </c>
      <c r="I178" s="117">
        <f t="shared" si="12"/>
        <v>0</v>
      </c>
    </row>
    <row r="179" spans="1:9">
      <c r="A179" s="119">
        <v>92</v>
      </c>
      <c r="B179" s="119">
        <v>11</v>
      </c>
      <c r="C179" s="121" t="s">
        <v>164</v>
      </c>
      <c r="D179" s="106">
        <v>8228953</v>
      </c>
      <c r="E179" s="106">
        <f>0</f>
        <v>0</v>
      </c>
      <c r="F179" s="117">
        <f t="shared" si="11"/>
        <v>8228953</v>
      </c>
      <c r="G179" s="106">
        <f>0</f>
        <v>0</v>
      </c>
      <c r="H179" s="106">
        <f>0</f>
        <v>0</v>
      </c>
      <c r="I179" s="117">
        <f t="shared" si="12"/>
        <v>0</v>
      </c>
    </row>
    <row r="180" spans="1:9">
      <c r="A180" s="119">
        <v>93</v>
      </c>
      <c r="B180" s="119">
        <v>12</v>
      </c>
      <c r="C180" s="121" t="s">
        <v>165</v>
      </c>
      <c r="D180" s="106">
        <f>0</f>
        <v>0</v>
      </c>
      <c r="E180" s="106">
        <f>0</f>
        <v>0</v>
      </c>
      <c r="F180" s="117">
        <f t="shared" si="11"/>
        <v>0</v>
      </c>
      <c r="G180" s="106">
        <f>0</f>
        <v>0</v>
      </c>
      <c r="H180" s="106">
        <f>0</f>
        <v>0</v>
      </c>
      <c r="I180" s="117">
        <f t="shared" si="12"/>
        <v>0</v>
      </c>
    </row>
    <row r="181" spans="1:9">
      <c r="A181" s="119">
        <v>94</v>
      </c>
      <c r="B181" s="119">
        <v>13</v>
      </c>
      <c r="C181" s="121" t="s">
        <v>166</v>
      </c>
      <c r="D181" s="106">
        <f>0</f>
        <v>0</v>
      </c>
      <c r="E181" s="106">
        <f>0</f>
        <v>0</v>
      </c>
      <c r="F181" s="117">
        <f t="shared" si="11"/>
        <v>0</v>
      </c>
      <c r="G181" s="106">
        <f>0</f>
        <v>0</v>
      </c>
      <c r="H181" s="106">
        <f>0</f>
        <v>0</v>
      </c>
      <c r="I181" s="117">
        <f t="shared" si="12"/>
        <v>0</v>
      </c>
    </row>
    <row r="182" spans="1:9">
      <c r="A182" s="119">
        <v>95</v>
      </c>
      <c r="B182" s="119">
        <v>14</v>
      </c>
      <c r="C182" s="121" t="s">
        <v>167</v>
      </c>
      <c r="D182" s="106">
        <f>0</f>
        <v>0</v>
      </c>
      <c r="E182" s="106">
        <f>73000+73000</f>
        <v>146000</v>
      </c>
      <c r="F182" s="117">
        <f t="shared" si="11"/>
        <v>146000</v>
      </c>
      <c r="G182" s="106">
        <f>0</f>
        <v>0</v>
      </c>
      <c r="H182" s="106">
        <f>0</f>
        <v>0</v>
      </c>
      <c r="I182" s="117">
        <f t="shared" si="12"/>
        <v>0</v>
      </c>
    </row>
    <row r="183" spans="1:9">
      <c r="A183" s="119">
        <v>96</v>
      </c>
      <c r="B183" s="119">
        <v>15</v>
      </c>
      <c r="C183" s="121" t="s">
        <v>168</v>
      </c>
      <c r="D183" s="106">
        <v>451000</v>
      </c>
      <c r="E183" s="106">
        <v>400000</v>
      </c>
      <c r="F183" s="117">
        <f t="shared" si="11"/>
        <v>851000</v>
      </c>
      <c r="G183" s="106">
        <v>451000</v>
      </c>
      <c r="H183" s="106">
        <v>400000</v>
      </c>
      <c r="I183" s="117">
        <f t="shared" si="12"/>
        <v>851000</v>
      </c>
    </row>
    <row r="184" spans="1:9">
      <c r="A184" s="119">
        <v>97</v>
      </c>
      <c r="B184" s="119">
        <v>16</v>
      </c>
      <c r="C184" s="121" t="s">
        <v>169</v>
      </c>
      <c r="D184" s="106">
        <v>1092000</v>
      </c>
      <c r="E184" s="106">
        <f>340000+401000</f>
        <v>741000</v>
      </c>
      <c r="F184" s="117">
        <f t="shared" si="11"/>
        <v>1833000</v>
      </c>
      <c r="G184" s="106">
        <v>1095800</v>
      </c>
      <c r="H184" s="106">
        <f>400000+330000</f>
        <v>730000</v>
      </c>
      <c r="I184" s="117">
        <f t="shared" si="12"/>
        <v>1825800</v>
      </c>
    </row>
    <row r="185" spans="1:9">
      <c r="A185" s="119">
        <v>98</v>
      </c>
      <c r="B185" s="119">
        <v>17</v>
      </c>
      <c r="C185" s="121" t="s">
        <v>170</v>
      </c>
      <c r="D185" s="106">
        <f>0</f>
        <v>0</v>
      </c>
      <c r="E185" s="106">
        <f>0</f>
        <v>0</v>
      </c>
      <c r="F185" s="117">
        <f t="shared" si="11"/>
        <v>0</v>
      </c>
      <c r="G185" s="106">
        <f>0</f>
        <v>0</v>
      </c>
      <c r="H185" s="106">
        <f>0</f>
        <v>0</v>
      </c>
      <c r="I185" s="117">
        <f t="shared" si="12"/>
        <v>0</v>
      </c>
    </row>
    <row r="186" spans="1:9">
      <c r="A186" s="119">
        <v>99</v>
      </c>
      <c r="B186" s="119">
        <v>18</v>
      </c>
      <c r="C186" s="121" t="s">
        <v>171</v>
      </c>
      <c r="D186" s="106">
        <f>0</f>
        <v>0</v>
      </c>
      <c r="E186" s="106">
        <f>0</f>
        <v>0</v>
      </c>
      <c r="F186" s="117">
        <f t="shared" si="11"/>
        <v>0</v>
      </c>
      <c r="G186" s="106">
        <f>0</f>
        <v>0</v>
      </c>
      <c r="H186" s="106">
        <f>0</f>
        <v>0</v>
      </c>
      <c r="I186" s="117">
        <f t="shared" si="12"/>
        <v>0</v>
      </c>
    </row>
    <row r="187" spans="1:9">
      <c r="A187" s="119">
        <v>100</v>
      </c>
      <c r="B187" s="119">
        <v>19</v>
      </c>
      <c r="C187" s="121" t="s">
        <v>172</v>
      </c>
      <c r="D187" s="106">
        <f>0</f>
        <v>0</v>
      </c>
      <c r="E187" s="106">
        <f>0</f>
        <v>0</v>
      </c>
      <c r="F187" s="117">
        <f t="shared" si="11"/>
        <v>0</v>
      </c>
      <c r="G187" s="106">
        <f>0</f>
        <v>0</v>
      </c>
      <c r="H187" s="106">
        <f>0</f>
        <v>0</v>
      </c>
      <c r="I187" s="117">
        <f t="shared" si="12"/>
        <v>0</v>
      </c>
    </row>
    <row r="188" spans="1:9">
      <c r="A188" s="119">
        <v>101</v>
      </c>
      <c r="B188" s="119">
        <v>20</v>
      </c>
      <c r="C188" s="121" t="s">
        <v>173</v>
      </c>
      <c r="D188" s="106">
        <f>0</f>
        <v>0</v>
      </c>
      <c r="E188" s="106">
        <f>0</f>
        <v>0</v>
      </c>
      <c r="F188" s="117">
        <f t="shared" si="11"/>
        <v>0</v>
      </c>
      <c r="G188" s="106">
        <f>0</f>
        <v>0</v>
      </c>
      <c r="H188" s="106">
        <f>0</f>
        <v>0</v>
      </c>
      <c r="I188" s="117">
        <f t="shared" si="12"/>
        <v>0</v>
      </c>
    </row>
    <row r="189" spans="1:9">
      <c r="A189" s="119">
        <v>102</v>
      </c>
      <c r="B189" s="119">
        <v>21</v>
      </c>
      <c r="C189" s="121" t="s">
        <v>174</v>
      </c>
      <c r="D189" s="106">
        <f>0</f>
        <v>0</v>
      </c>
      <c r="E189" s="106">
        <f>0</f>
        <v>0</v>
      </c>
      <c r="F189" s="117">
        <f>SUM(D189:E189)</f>
        <v>0</v>
      </c>
      <c r="G189" s="106">
        <f>0</f>
        <v>0</v>
      </c>
      <c r="H189" s="106">
        <f>0</f>
        <v>0</v>
      </c>
      <c r="I189" s="117">
        <f>SUM(G189:H189)</f>
        <v>0</v>
      </c>
    </row>
    <row r="190" spans="1:9">
      <c r="A190" s="119">
        <v>103</v>
      </c>
      <c r="B190" s="119">
        <v>22</v>
      </c>
      <c r="C190" s="121" t="s">
        <v>175</v>
      </c>
      <c r="D190" s="106">
        <f>0</f>
        <v>0</v>
      </c>
      <c r="E190" s="106">
        <f>0</f>
        <v>0</v>
      </c>
      <c r="F190" s="117">
        <f>SUM(D190:E190)</f>
        <v>0</v>
      </c>
      <c r="G190" s="106">
        <f>0</f>
        <v>0</v>
      </c>
      <c r="H190" s="106">
        <f>0</f>
        <v>0</v>
      </c>
      <c r="I190" s="117">
        <f t="shared" si="12"/>
        <v>0</v>
      </c>
    </row>
    <row r="191" spans="1:9">
      <c r="A191" s="119">
        <v>104</v>
      </c>
      <c r="B191" s="119">
        <v>23</v>
      </c>
      <c r="C191" s="121" t="s">
        <v>176</v>
      </c>
      <c r="D191" s="106">
        <f>0</f>
        <v>0</v>
      </c>
      <c r="E191" s="106">
        <f>0</f>
        <v>0</v>
      </c>
      <c r="F191" s="117">
        <f>SUM(D191:E191)</f>
        <v>0</v>
      </c>
      <c r="G191" s="106">
        <f>0</f>
        <v>0</v>
      </c>
      <c r="H191" s="106">
        <f>0</f>
        <v>0</v>
      </c>
      <c r="I191" s="117">
        <f t="shared" si="12"/>
        <v>0</v>
      </c>
    </row>
    <row r="192" spans="1:9">
      <c r="A192" s="108" t="s">
        <v>58</v>
      </c>
      <c r="B192" s="109"/>
      <c r="C192" s="109"/>
      <c r="D192" s="110">
        <f>SUM(D169:D191)</f>
        <v>31766628</v>
      </c>
      <c r="E192" s="110">
        <f>SUM(E169:E191)</f>
        <v>1935500</v>
      </c>
      <c r="F192" s="110">
        <f>SUM(D192:E192)</f>
        <v>33702128</v>
      </c>
      <c r="G192" s="110">
        <f>SUM(G169:G191)</f>
        <v>23483710</v>
      </c>
      <c r="H192" s="110">
        <f>SUM(H169:H191)</f>
        <v>1728500</v>
      </c>
      <c r="I192" s="110">
        <f>SUM(G192:H192)</f>
        <v>25212210</v>
      </c>
    </row>
    <row r="193" spans="1:9">
      <c r="A193" s="108" t="s">
        <v>177</v>
      </c>
      <c r="B193" s="109"/>
      <c r="C193" s="109"/>
      <c r="D193" s="109"/>
      <c r="E193" s="109"/>
      <c r="F193" s="109"/>
      <c r="G193" s="109"/>
      <c r="H193" s="109"/>
      <c r="I193" s="113"/>
    </row>
    <row r="194" spans="1:9">
      <c r="A194" s="119">
        <v>105</v>
      </c>
      <c r="B194" s="119">
        <v>1</v>
      </c>
      <c r="C194" s="105" t="s">
        <v>178</v>
      </c>
      <c r="D194" s="106">
        <f>0</f>
        <v>0</v>
      </c>
      <c r="E194" s="106">
        <f>0</f>
        <v>0</v>
      </c>
      <c r="F194" s="117">
        <f>SUM(D194:E194)</f>
        <v>0</v>
      </c>
      <c r="G194" s="106">
        <f>0</f>
        <v>0</v>
      </c>
      <c r="H194" s="106">
        <f>0</f>
        <v>0</v>
      </c>
      <c r="I194" s="117">
        <f>SUM(G194:H194)</f>
        <v>0</v>
      </c>
    </row>
    <row r="195" spans="1:9">
      <c r="A195" s="119">
        <v>106</v>
      </c>
      <c r="B195" s="119">
        <v>2</v>
      </c>
      <c r="C195" s="120" t="s">
        <v>179</v>
      </c>
      <c r="D195" s="106">
        <v>255201</v>
      </c>
      <c r="E195" s="106">
        <v>72200</v>
      </c>
      <c r="F195" s="117">
        <f t="shared" ref="F195:F241" si="13">SUM(D195:E195)</f>
        <v>327401</v>
      </c>
      <c r="G195" s="106">
        <v>72200</v>
      </c>
      <c r="H195" s="106">
        <v>255201</v>
      </c>
      <c r="I195" s="117">
        <f t="shared" ref="I195:I241" si="14">SUM(G195:H195)</f>
        <v>327401</v>
      </c>
    </row>
    <row r="196" spans="1:9">
      <c r="A196" s="119">
        <v>107</v>
      </c>
      <c r="B196" s="119">
        <v>3</v>
      </c>
      <c r="C196" s="120" t="s">
        <v>180</v>
      </c>
      <c r="D196" s="106">
        <f>0</f>
        <v>0</v>
      </c>
      <c r="E196" s="106">
        <f>0</f>
        <v>0</v>
      </c>
      <c r="F196" s="117">
        <f t="shared" si="13"/>
        <v>0</v>
      </c>
      <c r="G196" s="106">
        <f>0</f>
        <v>0</v>
      </c>
      <c r="H196" s="106">
        <f>0</f>
        <v>0</v>
      </c>
      <c r="I196" s="117">
        <f t="shared" si="14"/>
        <v>0</v>
      </c>
    </row>
    <row r="197" spans="1:9">
      <c r="A197" s="119">
        <v>108</v>
      </c>
      <c r="B197" s="119">
        <v>4</v>
      </c>
      <c r="C197" s="105" t="s">
        <v>181</v>
      </c>
      <c r="D197" s="106">
        <f>0</f>
        <v>0</v>
      </c>
      <c r="E197" s="106">
        <f>0</f>
        <v>0</v>
      </c>
      <c r="F197" s="117">
        <f t="shared" si="13"/>
        <v>0</v>
      </c>
      <c r="G197" s="106">
        <f>0</f>
        <v>0</v>
      </c>
      <c r="H197" s="106">
        <f>0</f>
        <v>0</v>
      </c>
      <c r="I197" s="117">
        <f t="shared" si="14"/>
        <v>0</v>
      </c>
    </row>
    <row r="198" spans="1:9">
      <c r="A198" s="119">
        <v>109</v>
      </c>
      <c r="B198" s="119">
        <v>5</v>
      </c>
      <c r="C198" s="130" t="s">
        <v>182</v>
      </c>
      <c r="D198" s="106">
        <f>0</f>
        <v>0</v>
      </c>
      <c r="E198" s="106">
        <f>0</f>
        <v>0</v>
      </c>
      <c r="F198" s="117">
        <f t="shared" si="13"/>
        <v>0</v>
      </c>
      <c r="G198" s="106">
        <f>0</f>
        <v>0</v>
      </c>
      <c r="H198" s="106">
        <f>0</f>
        <v>0</v>
      </c>
      <c r="I198" s="117">
        <f t="shared" si="14"/>
        <v>0</v>
      </c>
    </row>
    <row r="199" spans="1:9">
      <c r="A199" s="119">
        <v>110</v>
      </c>
      <c r="B199" s="119">
        <v>6</v>
      </c>
      <c r="C199" s="130" t="s">
        <v>183</v>
      </c>
      <c r="D199" s="106">
        <v>190075</v>
      </c>
      <c r="E199" s="106">
        <v>345000</v>
      </c>
      <c r="F199" s="117">
        <f t="shared" si="13"/>
        <v>535075</v>
      </c>
      <c r="G199" s="106">
        <f>0</f>
        <v>0</v>
      </c>
      <c r="H199" s="106">
        <f>0</f>
        <v>0</v>
      </c>
      <c r="I199" s="117">
        <f t="shared" si="14"/>
        <v>0</v>
      </c>
    </row>
    <row r="200" spans="1:9">
      <c r="A200" s="119">
        <v>111</v>
      </c>
      <c r="B200" s="119">
        <v>7</v>
      </c>
      <c r="C200" s="130" t="s">
        <v>184</v>
      </c>
      <c r="D200" s="106">
        <v>549300</v>
      </c>
      <c r="E200" s="106">
        <v>371500</v>
      </c>
      <c r="F200" s="117">
        <f t="shared" si="13"/>
        <v>920800</v>
      </c>
      <c r="G200" s="106">
        <f>0</f>
        <v>0</v>
      </c>
      <c r="H200" s="106">
        <f>0</f>
        <v>0</v>
      </c>
      <c r="I200" s="117">
        <f t="shared" si="14"/>
        <v>0</v>
      </c>
    </row>
    <row r="201" spans="1:9">
      <c r="A201" s="119">
        <v>112</v>
      </c>
      <c r="B201" s="119">
        <v>8</v>
      </c>
      <c r="C201" s="130" t="s">
        <v>185</v>
      </c>
      <c r="D201" s="106">
        <f>0</f>
        <v>0</v>
      </c>
      <c r="E201" s="106">
        <f>0</f>
        <v>0</v>
      </c>
      <c r="F201" s="117">
        <f t="shared" si="13"/>
        <v>0</v>
      </c>
      <c r="G201" s="106">
        <f>0</f>
        <v>0</v>
      </c>
      <c r="H201" s="106">
        <f>0</f>
        <v>0</v>
      </c>
      <c r="I201" s="117">
        <f t="shared" si="14"/>
        <v>0</v>
      </c>
    </row>
    <row r="202" spans="1:9">
      <c r="A202" s="119">
        <v>113</v>
      </c>
      <c r="B202" s="119">
        <v>9</v>
      </c>
      <c r="C202" s="130" t="s">
        <v>186</v>
      </c>
      <c r="D202" s="106">
        <f>0</f>
        <v>0</v>
      </c>
      <c r="E202" s="106">
        <f>0</f>
        <v>0</v>
      </c>
      <c r="F202" s="117">
        <f t="shared" si="13"/>
        <v>0</v>
      </c>
      <c r="G202" s="106">
        <f>0</f>
        <v>0</v>
      </c>
      <c r="H202" s="106">
        <f>0</f>
        <v>0</v>
      </c>
      <c r="I202" s="117">
        <f t="shared" si="14"/>
        <v>0</v>
      </c>
    </row>
    <row r="203" spans="1:9">
      <c r="A203" s="119">
        <v>114</v>
      </c>
      <c r="B203" s="119">
        <v>10</v>
      </c>
      <c r="C203" s="130" t="s">
        <v>187</v>
      </c>
      <c r="D203" s="106">
        <f>0</f>
        <v>0</v>
      </c>
      <c r="E203" s="106">
        <f>317000+322000</f>
        <v>639000</v>
      </c>
      <c r="F203" s="117">
        <f t="shared" si="13"/>
        <v>639000</v>
      </c>
      <c r="G203" s="106">
        <f>0</f>
        <v>0</v>
      </c>
      <c r="H203" s="106">
        <f>0</f>
        <v>0</v>
      </c>
      <c r="I203" s="117">
        <f t="shared" si="14"/>
        <v>0</v>
      </c>
    </row>
    <row r="204" spans="1:9">
      <c r="A204" s="119">
        <v>115</v>
      </c>
      <c r="B204" s="119">
        <v>11</v>
      </c>
      <c r="C204" s="130" t="s">
        <v>188</v>
      </c>
      <c r="D204" s="106">
        <f>0</f>
        <v>0</v>
      </c>
      <c r="E204" s="106">
        <f>0</f>
        <v>0</v>
      </c>
      <c r="F204" s="117">
        <f t="shared" si="13"/>
        <v>0</v>
      </c>
      <c r="G204" s="106">
        <f>0</f>
        <v>0</v>
      </c>
      <c r="H204" s="106">
        <f>0</f>
        <v>0</v>
      </c>
      <c r="I204" s="117">
        <f t="shared" si="14"/>
        <v>0</v>
      </c>
    </row>
    <row r="205" spans="1:9">
      <c r="A205" s="119">
        <v>116</v>
      </c>
      <c r="B205" s="119">
        <v>12</v>
      </c>
      <c r="C205" s="130" t="s">
        <v>189</v>
      </c>
      <c r="D205" s="106">
        <f>0</f>
        <v>0</v>
      </c>
      <c r="E205" s="106">
        <f>0</f>
        <v>0</v>
      </c>
      <c r="F205" s="117">
        <f t="shared" si="13"/>
        <v>0</v>
      </c>
      <c r="G205" s="106">
        <f>0</f>
        <v>0</v>
      </c>
      <c r="H205" s="106">
        <f>0</f>
        <v>0</v>
      </c>
      <c r="I205" s="117">
        <f t="shared" si="14"/>
        <v>0</v>
      </c>
    </row>
    <row r="206" spans="1:9">
      <c r="A206" s="119">
        <v>117</v>
      </c>
      <c r="B206" s="119">
        <v>13</v>
      </c>
      <c r="C206" s="130" t="s">
        <v>190</v>
      </c>
      <c r="D206" s="106">
        <f>0</f>
        <v>0</v>
      </c>
      <c r="E206" s="106">
        <f>0</f>
        <v>0</v>
      </c>
      <c r="F206" s="117">
        <f t="shared" si="13"/>
        <v>0</v>
      </c>
      <c r="G206" s="106">
        <f>0</f>
        <v>0</v>
      </c>
      <c r="H206" s="106">
        <f>0</f>
        <v>0</v>
      </c>
      <c r="I206" s="117">
        <f t="shared" si="14"/>
        <v>0</v>
      </c>
    </row>
    <row r="207" spans="1:9">
      <c r="A207" s="119">
        <v>118</v>
      </c>
      <c r="B207" s="119">
        <v>14</v>
      </c>
      <c r="C207" s="130" t="s">
        <v>191</v>
      </c>
      <c r="D207" s="106">
        <f>0</f>
        <v>0</v>
      </c>
      <c r="E207" s="106">
        <f>0</f>
        <v>0</v>
      </c>
      <c r="F207" s="117">
        <f t="shared" si="13"/>
        <v>0</v>
      </c>
      <c r="G207" s="106">
        <f>0</f>
        <v>0</v>
      </c>
      <c r="H207" s="106">
        <f>0</f>
        <v>0</v>
      </c>
      <c r="I207" s="117">
        <f t="shared" si="14"/>
        <v>0</v>
      </c>
    </row>
    <row r="208" spans="1:9">
      <c r="A208" s="119">
        <v>119</v>
      </c>
      <c r="B208" s="119">
        <v>15</v>
      </c>
      <c r="C208" s="130" t="s">
        <v>192</v>
      </c>
      <c r="D208" s="106">
        <f>0</f>
        <v>0</v>
      </c>
      <c r="E208" s="106">
        <v>28000</v>
      </c>
      <c r="F208" s="117">
        <f t="shared" si="13"/>
        <v>28000</v>
      </c>
      <c r="G208" s="106">
        <f>0</f>
        <v>0</v>
      </c>
      <c r="H208" s="106">
        <v>28000</v>
      </c>
      <c r="I208" s="117">
        <f t="shared" si="14"/>
        <v>28000</v>
      </c>
    </row>
    <row r="209" spans="1:9">
      <c r="A209" s="119">
        <v>120</v>
      </c>
      <c r="B209" s="119">
        <v>16</v>
      </c>
      <c r="C209" s="130" t="s">
        <v>193</v>
      </c>
      <c r="D209" s="106">
        <f>0</f>
        <v>0</v>
      </c>
      <c r="E209" s="106">
        <f>0</f>
        <v>0</v>
      </c>
      <c r="F209" s="117">
        <f t="shared" si="13"/>
        <v>0</v>
      </c>
      <c r="G209" s="106">
        <f>0</f>
        <v>0</v>
      </c>
      <c r="H209" s="106">
        <f>0</f>
        <v>0</v>
      </c>
      <c r="I209" s="117">
        <f t="shared" si="14"/>
        <v>0</v>
      </c>
    </row>
    <row r="210" spans="1:9">
      <c r="A210" s="119">
        <v>121</v>
      </c>
      <c r="B210" s="119">
        <v>17</v>
      </c>
      <c r="C210" s="130" t="s">
        <v>194</v>
      </c>
      <c r="D210" s="106">
        <f>0</f>
        <v>0</v>
      </c>
      <c r="E210" s="106">
        <v>27000</v>
      </c>
      <c r="F210" s="117">
        <f t="shared" si="13"/>
        <v>27000</v>
      </c>
      <c r="G210" s="106">
        <f>0</f>
        <v>0</v>
      </c>
      <c r="H210" s="106">
        <v>27000</v>
      </c>
      <c r="I210" s="117">
        <f t="shared" si="14"/>
        <v>27000</v>
      </c>
    </row>
    <row r="211" spans="1:9">
      <c r="A211" s="119">
        <v>122</v>
      </c>
      <c r="B211" s="119">
        <v>18</v>
      </c>
      <c r="C211" s="130" t="s">
        <v>195</v>
      </c>
      <c r="D211" s="106">
        <f>0</f>
        <v>0</v>
      </c>
      <c r="E211" s="106">
        <f>0</f>
        <v>0</v>
      </c>
      <c r="F211" s="117">
        <f t="shared" si="13"/>
        <v>0</v>
      </c>
      <c r="G211" s="106">
        <f>0</f>
        <v>0</v>
      </c>
      <c r="H211" s="106">
        <f>0</f>
        <v>0</v>
      </c>
      <c r="I211" s="117">
        <f t="shared" si="14"/>
        <v>0</v>
      </c>
    </row>
    <row r="212" spans="1:9">
      <c r="A212" s="119">
        <v>123</v>
      </c>
      <c r="B212" s="119">
        <v>19</v>
      </c>
      <c r="C212" s="130" t="s">
        <v>196</v>
      </c>
      <c r="D212" s="106">
        <f>0</f>
        <v>0</v>
      </c>
      <c r="E212" s="106">
        <v>197000</v>
      </c>
      <c r="F212" s="117">
        <f t="shared" si="13"/>
        <v>197000</v>
      </c>
      <c r="G212" s="106">
        <f>0</f>
        <v>0</v>
      </c>
      <c r="H212" s="106">
        <v>197000</v>
      </c>
      <c r="I212" s="117">
        <f t="shared" si="14"/>
        <v>197000</v>
      </c>
    </row>
    <row r="213" spans="1:9">
      <c r="A213" s="119">
        <v>124</v>
      </c>
      <c r="B213" s="119">
        <v>20</v>
      </c>
      <c r="C213" s="130" t="s">
        <v>197</v>
      </c>
      <c r="D213" s="106">
        <f>0</f>
        <v>0</v>
      </c>
      <c r="E213" s="106">
        <f>0</f>
        <v>0</v>
      </c>
      <c r="F213" s="117">
        <f t="shared" si="13"/>
        <v>0</v>
      </c>
      <c r="G213" s="106">
        <f>0</f>
        <v>0</v>
      </c>
      <c r="H213" s="106">
        <f>116000+116000</f>
        <v>232000</v>
      </c>
      <c r="I213" s="117">
        <f t="shared" si="14"/>
        <v>232000</v>
      </c>
    </row>
    <row r="214" spans="1:9">
      <c r="A214" s="119">
        <v>125</v>
      </c>
      <c r="B214" s="119">
        <v>21</v>
      </c>
      <c r="C214" s="130" t="s">
        <v>198</v>
      </c>
      <c r="D214" s="106">
        <v>84000</v>
      </c>
      <c r="E214" s="106">
        <v>145000</v>
      </c>
      <c r="F214" s="117">
        <f t="shared" si="13"/>
        <v>229000</v>
      </c>
      <c r="G214" s="106">
        <v>85000</v>
      </c>
      <c r="H214" s="106">
        <v>140000</v>
      </c>
      <c r="I214" s="117">
        <f t="shared" si="14"/>
        <v>225000</v>
      </c>
    </row>
    <row r="215" spans="1:9">
      <c r="A215" s="119">
        <v>126</v>
      </c>
      <c r="B215" s="119">
        <v>22</v>
      </c>
      <c r="C215" s="130" t="s">
        <v>199</v>
      </c>
      <c r="D215" s="106">
        <f>0</f>
        <v>0</v>
      </c>
      <c r="E215" s="106">
        <v>192500</v>
      </c>
      <c r="F215" s="117">
        <f t="shared" si="13"/>
        <v>192500</v>
      </c>
      <c r="G215" s="106">
        <f>0</f>
        <v>0</v>
      </c>
      <c r="H215" s="106">
        <v>192500</v>
      </c>
      <c r="I215" s="117">
        <f t="shared" si="14"/>
        <v>192500</v>
      </c>
    </row>
    <row r="216" spans="1:9">
      <c r="A216" s="119">
        <v>127</v>
      </c>
      <c r="B216" s="119">
        <v>23</v>
      </c>
      <c r="C216" s="130" t="s">
        <v>200</v>
      </c>
      <c r="D216" s="106">
        <f>0</f>
        <v>0</v>
      </c>
      <c r="E216" s="106">
        <f>0</f>
        <v>0</v>
      </c>
      <c r="F216" s="117">
        <f t="shared" si="13"/>
        <v>0</v>
      </c>
      <c r="G216" s="106">
        <f>0</f>
        <v>0</v>
      </c>
      <c r="H216" s="106">
        <f>0</f>
        <v>0</v>
      </c>
      <c r="I216" s="117">
        <f t="shared" si="14"/>
        <v>0</v>
      </c>
    </row>
    <row r="217" spans="1:9">
      <c r="A217" s="119">
        <v>128</v>
      </c>
      <c r="B217" s="119">
        <v>24</v>
      </c>
      <c r="C217" s="130" t="s">
        <v>201</v>
      </c>
      <c r="D217" s="106">
        <f>79000+79000</f>
        <v>158000</v>
      </c>
      <c r="E217" s="106">
        <f>665000+690000</f>
        <v>1355000</v>
      </c>
      <c r="F217" s="117">
        <f t="shared" si="13"/>
        <v>1513000</v>
      </c>
      <c r="G217" s="106">
        <v>79000</v>
      </c>
      <c r="H217" s="106">
        <v>690000</v>
      </c>
      <c r="I217" s="117">
        <f t="shared" si="14"/>
        <v>769000</v>
      </c>
    </row>
    <row r="218" spans="1:9">
      <c r="A218" s="119">
        <v>129</v>
      </c>
      <c r="B218" s="119">
        <v>25</v>
      </c>
      <c r="C218" s="130" t="s">
        <v>202</v>
      </c>
      <c r="D218" s="106">
        <v>242000</v>
      </c>
      <c r="E218" s="106">
        <f>0</f>
        <v>0</v>
      </c>
      <c r="F218" s="117">
        <f t="shared" si="13"/>
        <v>242000</v>
      </c>
      <c r="G218" s="106">
        <v>242000</v>
      </c>
      <c r="H218" s="106">
        <f>0</f>
        <v>0</v>
      </c>
      <c r="I218" s="117">
        <f t="shared" si="14"/>
        <v>242000</v>
      </c>
    </row>
    <row r="219" spans="1:9">
      <c r="A219" s="119">
        <v>130</v>
      </c>
      <c r="B219" s="119">
        <v>26</v>
      </c>
      <c r="C219" s="130" t="s">
        <v>203</v>
      </c>
      <c r="D219" s="106">
        <f>0</f>
        <v>0</v>
      </c>
      <c r="E219" s="106">
        <f>0</f>
        <v>0</v>
      </c>
      <c r="F219" s="117">
        <f t="shared" si="13"/>
        <v>0</v>
      </c>
      <c r="G219" s="106">
        <f>0</f>
        <v>0</v>
      </c>
      <c r="H219" s="106">
        <f>0</f>
        <v>0</v>
      </c>
      <c r="I219" s="117">
        <f t="shared" si="14"/>
        <v>0</v>
      </c>
    </row>
    <row r="220" spans="1:9">
      <c r="A220" s="119">
        <v>131</v>
      </c>
      <c r="B220" s="119">
        <v>27</v>
      </c>
      <c r="C220" s="130" t="s">
        <v>204</v>
      </c>
      <c r="D220" s="106">
        <v>990000</v>
      </c>
      <c r="E220" s="106">
        <f>0</f>
        <v>0</v>
      </c>
      <c r="F220" s="117">
        <f t="shared" si="13"/>
        <v>990000</v>
      </c>
      <c r="G220" s="106">
        <v>1000000</v>
      </c>
      <c r="H220" s="106">
        <f>0</f>
        <v>0</v>
      </c>
      <c r="I220" s="117">
        <f t="shared" si="14"/>
        <v>1000000</v>
      </c>
    </row>
    <row r="221" spans="1:9">
      <c r="A221" s="119">
        <v>132</v>
      </c>
      <c r="B221" s="119">
        <v>28</v>
      </c>
      <c r="C221" s="130" t="s">
        <v>205</v>
      </c>
      <c r="D221" s="106">
        <f>0</f>
        <v>0</v>
      </c>
      <c r="E221" s="106">
        <f>0</f>
        <v>0</v>
      </c>
      <c r="F221" s="117">
        <f t="shared" si="13"/>
        <v>0</v>
      </c>
      <c r="G221" s="106">
        <f>0</f>
        <v>0</v>
      </c>
      <c r="H221" s="106">
        <f>0</f>
        <v>0</v>
      </c>
      <c r="I221" s="117">
        <f t="shared" si="14"/>
        <v>0</v>
      </c>
    </row>
    <row r="222" spans="1:9">
      <c r="A222" s="119">
        <v>133</v>
      </c>
      <c r="B222" s="119">
        <v>29</v>
      </c>
      <c r="C222" s="130" t="s">
        <v>206</v>
      </c>
      <c r="D222" s="106">
        <f>0</f>
        <v>0</v>
      </c>
      <c r="E222" s="106">
        <f>0</f>
        <v>0</v>
      </c>
      <c r="F222" s="117">
        <f t="shared" si="13"/>
        <v>0</v>
      </c>
      <c r="G222" s="106">
        <f>0</f>
        <v>0</v>
      </c>
      <c r="H222" s="106">
        <f>0</f>
        <v>0</v>
      </c>
      <c r="I222" s="117">
        <f t="shared" si="14"/>
        <v>0</v>
      </c>
    </row>
    <row r="223" spans="1:9">
      <c r="A223" s="119">
        <v>134</v>
      </c>
      <c r="B223" s="119">
        <v>30</v>
      </c>
      <c r="C223" s="130" t="s">
        <v>207</v>
      </c>
      <c r="D223" s="106">
        <f>0</f>
        <v>0</v>
      </c>
      <c r="E223" s="106">
        <f>0</f>
        <v>0</v>
      </c>
      <c r="F223" s="117">
        <f t="shared" si="13"/>
        <v>0</v>
      </c>
      <c r="G223" s="106">
        <f>0</f>
        <v>0</v>
      </c>
      <c r="H223" s="106">
        <f>0</f>
        <v>0</v>
      </c>
      <c r="I223" s="117">
        <f t="shared" si="14"/>
        <v>0</v>
      </c>
    </row>
    <row r="224" spans="1:9">
      <c r="A224" s="119">
        <v>135</v>
      </c>
      <c r="B224" s="119">
        <v>31</v>
      </c>
      <c r="C224" s="130" t="s">
        <v>208</v>
      </c>
      <c r="D224" s="106">
        <v>1020000</v>
      </c>
      <c r="E224" s="106">
        <f>0</f>
        <v>0</v>
      </c>
      <c r="F224" s="117">
        <f t="shared" si="13"/>
        <v>1020000</v>
      </c>
      <c r="G224" s="106">
        <f>0</f>
        <v>0</v>
      </c>
      <c r="H224" s="106">
        <f>0</f>
        <v>0</v>
      </c>
      <c r="I224" s="117">
        <f t="shared" si="14"/>
        <v>0</v>
      </c>
    </row>
    <row r="225" spans="1:9">
      <c r="A225" s="119">
        <v>136</v>
      </c>
      <c r="B225" s="119">
        <v>32</v>
      </c>
      <c r="C225" s="130" t="s">
        <v>209</v>
      </c>
      <c r="D225" s="106">
        <f>0</f>
        <v>0</v>
      </c>
      <c r="E225" s="106">
        <v>106000</v>
      </c>
      <c r="F225" s="117">
        <f t="shared" si="13"/>
        <v>106000</v>
      </c>
      <c r="G225" s="106">
        <f>0</f>
        <v>0</v>
      </c>
      <c r="H225" s="106">
        <v>106000</v>
      </c>
      <c r="I225" s="117">
        <f t="shared" si="14"/>
        <v>106000</v>
      </c>
    </row>
    <row r="226" spans="1:9">
      <c r="A226" s="119">
        <v>137</v>
      </c>
      <c r="B226" s="119">
        <v>33</v>
      </c>
      <c r="C226" s="130" t="s">
        <v>210</v>
      </c>
      <c r="D226" s="106">
        <f>0</f>
        <v>0</v>
      </c>
      <c r="E226" s="106">
        <f>0</f>
        <v>0</v>
      </c>
      <c r="F226" s="117">
        <f t="shared" si="13"/>
        <v>0</v>
      </c>
      <c r="G226" s="106">
        <v>176000</v>
      </c>
      <c r="H226" s="106">
        <f>0</f>
        <v>0</v>
      </c>
      <c r="I226" s="117">
        <f t="shared" si="14"/>
        <v>176000</v>
      </c>
    </row>
    <row r="227" spans="1:9">
      <c r="A227" s="119">
        <v>138</v>
      </c>
      <c r="B227" s="119">
        <v>34</v>
      </c>
      <c r="C227" s="130" t="s">
        <v>211</v>
      </c>
      <c r="D227" s="106">
        <f>0</f>
        <v>0</v>
      </c>
      <c r="E227" s="106">
        <f>0</f>
        <v>0</v>
      </c>
      <c r="F227" s="117">
        <f t="shared" si="13"/>
        <v>0</v>
      </c>
      <c r="G227" s="106">
        <f>0</f>
        <v>0</v>
      </c>
      <c r="H227" s="106">
        <f>0</f>
        <v>0</v>
      </c>
      <c r="I227" s="117">
        <f t="shared" si="14"/>
        <v>0</v>
      </c>
    </row>
    <row r="228" spans="1:9">
      <c r="A228" s="119">
        <v>139</v>
      </c>
      <c r="B228" s="119">
        <v>35</v>
      </c>
      <c r="C228" s="130" t="s">
        <v>212</v>
      </c>
      <c r="D228" s="106">
        <f>0</f>
        <v>0</v>
      </c>
      <c r="E228" s="106">
        <f>0</f>
        <v>0</v>
      </c>
      <c r="F228" s="117">
        <f t="shared" si="13"/>
        <v>0</v>
      </c>
      <c r="G228" s="106">
        <f>0</f>
        <v>0</v>
      </c>
      <c r="H228" s="106">
        <f>0</f>
        <v>0</v>
      </c>
      <c r="I228" s="117">
        <f t="shared" si="14"/>
        <v>0</v>
      </c>
    </row>
    <row r="229" spans="1:9">
      <c r="A229" s="119">
        <v>140</v>
      </c>
      <c r="B229" s="119">
        <v>36</v>
      </c>
      <c r="C229" s="130" t="s">
        <v>213</v>
      </c>
      <c r="D229" s="106">
        <f>0</f>
        <v>0</v>
      </c>
      <c r="E229" s="106">
        <f>0</f>
        <v>0</v>
      </c>
      <c r="F229" s="117">
        <f t="shared" si="13"/>
        <v>0</v>
      </c>
      <c r="G229" s="106">
        <f>0</f>
        <v>0</v>
      </c>
      <c r="H229" s="106">
        <f>0</f>
        <v>0</v>
      </c>
      <c r="I229" s="117">
        <f t="shared" si="14"/>
        <v>0</v>
      </c>
    </row>
    <row r="230" spans="1:9">
      <c r="A230" s="119">
        <v>141</v>
      </c>
      <c r="B230" s="119">
        <v>37</v>
      </c>
      <c r="C230" s="130" t="s">
        <v>214</v>
      </c>
      <c r="D230" s="106">
        <f>0</f>
        <v>0</v>
      </c>
      <c r="E230" s="106">
        <f>0</f>
        <v>0</v>
      </c>
      <c r="F230" s="117">
        <f t="shared" si="13"/>
        <v>0</v>
      </c>
      <c r="G230" s="106">
        <f>0</f>
        <v>0</v>
      </c>
      <c r="H230" s="106">
        <f>0</f>
        <v>0</v>
      </c>
      <c r="I230" s="117">
        <f t="shared" si="14"/>
        <v>0</v>
      </c>
    </row>
    <row r="231" spans="1:9">
      <c r="A231" s="119">
        <v>142</v>
      </c>
      <c r="B231" s="119">
        <v>38</v>
      </c>
      <c r="C231" s="130" t="s">
        <v>215</v>
      </c>
      <c r="D231" s="106">
        <f>0</f>
        <v>0</v>
      </c>
      <c r="E231" s="106">
        <f>0</f>
        <v>0</v>
      </c>
      <c r="F231" s="117">
        <f t="shared" si="13"/>
        <v>0</v>
      </c>
      <c r="G231" s="106">
        <f>0</f>
        <v>0</v>
      </c>
      <c r="H231" s="106">
        <f>0</f>
        <v>0</v>
      </c>
      <c r="I231" s="117">
        <f t="shared" si="14"/>
        <v>0</v>
      </c>
    </row>
    <row r="232" spans="1:9">
      <c r="A232" s="119">
        <v>143</v>
      </c>
      <c r="B232" s="119">
        <v>39</v>
      </c>
      <c r="C232" s="130" t="s">
        <v>216</v>
      </c>
      <c r="D232" s="106">
        <f>0</f>
        <v>0</v>
      </c>
      <c r="E232" s="106">
        <v>350000</v>
      </c>
      <c r="F232" s="117">
        <f t="shared" si="13"/>
        <v>350000</v>
      </c>
      <c r="G232" s="106">
        <f>0</f>
        <v>0</v>
      </c>
      <c r="H232" s="106">
        <v>350000</v>
      </c>
      <c r="I232" s="117">
        <f t="shared" si="14"/>
        <v>350000</v>
      </c>
    </row>
    <row r="233" spans="1:9">
      <c r="A233" s="119">
        <v>144</v>
      </c>
      <c r="B233" s="119">
        <v>40</v>
      </c>
      <c r="C233" s="130" t="s">
        <v>217</v>
      </c>
      <c r="D233" s="106">
        <f>0</f>
        <v>0</v>
      </c>
      <c r="E233" s="106">
        <f>0</f>
        <v>0</v>
      </c>
      <c r="F233" s="117">
        <f t="shared" si="13"/>
        <v>0</v>
      </c>
      <c r="G233" s="106">
        <f>0</f>
        <v>0</v>
      </c>
      <c r="H233" s="106">
        <f>0</f>
        <v>0</v>
      </c>
      <c r="I233" s="117">
        <f t="shared" si="14"/>
        <v>0</v>
      </c>
    </row>
    <row r="234" spans="1:9">
      <c r="A234" s="119">
        <v>145</v>
      </c>
      <c r="B234" s="119">
        <v>41</v>
      </c>
      <c r="C234" s="130" t="s">
        <v>218</v>
      </c>
      <c r="D234" s="106">
        <f>0</f>
        <v>0</v>
      </c>
      <c r="E234" s="106">
        <f>0</f>
        <v>0</v>
      </c>
      <c r="F234" s="117">
        <f t="shared" si="13"/>
        <v>0</v>
      </c>
      <c r="G234" s="106">
        <f>0</f>
        <v>0</v>
      </c>
      <c r="H234" s="106">
        <f>0</f>
        <v>0</v>
      </c>
      <c r="I234" s="117">
        <f t="shared" si="14"/>
        <v>0</v>
      </c>
    </row>
    <row r="235" spans="1:9">
      <c r="A235" s="119">
        <v>146</v>
      </c>
      <c r="B235" s="119">
        <v>42</v>
      </c>
      <c r="C235" s="130" t="s">
        <v>219</v>
      </c>
      <c r="D235" s="106">
        <f>0</f>
        <v>0</v>
      </c>
      <c r="E235" s="106">
        <f>0</f>
        <v>0</v>
      </c>
      <c r="F235" s="117">
        <f t="shared" si="13"/>
        <v>0</v>
      </c>
      <c r="G235" s="106">
        <f>0</f>
        <v>0</v>
      </c>
      <c r="H235" s="106">
        <f>0</f>
        <v>0</v>
      </c>
      <c r="I235" s="117">
        <f t="shared" si="14"/>
        <v>0</v>
      </c>
    </row>
    <row r="236" spans="1:9">
      <c r="A236" s="119">
        <v>147</v>
      </c>
      <c r="B236" s="119">
        <v>43</v>
      </c>
      <c r="C236" s="130" t="s">
        <v>220</v>
      </c>
      <c r="D236" s="106">
        <v>200000</v>
      </c>
      <c r="E236" s="106">
        <f>0</f>
        <v>0</v>
      </c>
      <c r="F236" s="117">
        <f t="shared" si="13"/>
        <v>200000</v>
      </c>
      <c r="G236" s="106">
        <v>200000</v>
      </c>
      <c r="H236" s="106">
        <f>0</f>
        <v>0</v>
      </c>
      <c r="I236" s="117">
        <f t="shared" si="14"/>
        <v>200000</v>
      </c>
    </row>
    <row r="237" spans="1:9">
      <c r="A237" s="119">
        <v>148</v>
      </c>
      <c r="B237" s="119">
        <v>44</v>
      </c>
      <c r="C237" s="130" t="s">
        <v>221</v>
      </c>
      <c r="D237" s="106">
        <f>0</f>
        <v>0</v>
      </c>
      <c r="E237" s="106">
        <f>0</f>
        <v>0</v>
      </c>
      <c r="F237" s="117">
        <f t="shared" si="13"/>
        <v>0</v>
      </c>
      <c r="G237" s="106">
        <f>0</f>
        <v>0</v>
      </c>
      <c r="H237" s="106">
        <f>0</f>
        <v>0</v>
      </c>
      <c r="I237" s="117">
        <f t="shared" si="14"/>
        <v>0</v>
      </c>
    </row>
    <row r="238" spans="1:9">
      <c r="A238" s="119">
        <v>149</v>
      </c>
      <c r="B238" s="119">
        <v>45</v>
      </c>
      <c r="C238" s="130" t="s">
        <v>222</v>
      </c>
      <c r="D238" s="106">
        <f>0</f>
        <v>0</v>
      </c>
      <c r="E238" s="106">
        <f>0</f>
        <v>0</v>
      </c>
      <c r="F238" s="117">
        <f t="shared" si="13"/>
        <v>0</v>
      </c>
      <c r="G238" s="106">
        <f>0</f>
        <v>0</v>
      </c>
      <c r="H238" s="106">
        <f>0</f>
        <v>0</v>
      </c>
      <c r="I238" s="117">
        <f t="shared" si="14"/>
        <v>0</v>
      </c>
    </row>
    <row r="239" spans="1:9">
      <c r="A239" s="119">
        <v>150</v>
      </c>
      <c r="B239" s="119">
        <v>46</v>
      </c>
      <c r="C239" s="130" t="s">
        <v>281</v>
      </c>
      <c r="D239" s="106">
        <f>0</f>
        <v>0</v>
      </c>
      <c r="E239" s="106">
        <f>0</f>
        <v>0</v>
      </c>
      <c r="F239" s="117">
        <f t="shared" si="13"/>
        <v>0</v>
      </c>
      <c r="G239" s="106">
        <v>700000</v>
      </c>
      <c r="H239" s="106">
        <f>0</f>
        <v>0</v>
      </c>
      <c r="I239" s="117">
        <f t="shared" si="14"/>
        <v>700000</v>
      </c>
    </row>
    <row r="240" spans="1:9">
      <c r="A240" s="119">
        <v>151</v>
      </c>
      <c r="B240" s="119">
        <v>47</v>
      </c>
      <c r="C240" s="130" t="s">
        <v>224</v>
      </c>
      <c r="D240" s="106">
        <f>0</f>
        <v>0</v>
      </c>
      <c r="E240" s="106">
        <f>0</f>
        <v>0</v>
      </c>
      <c r="F240" s="117">
        <f t="shared" si="13"/>
        <v>0</v>
      </c>
      <c r="G240" s="106">
        <f>0</f>
        <v>0</v>
      </c>
      <c r="H240" s="106">
        <f>0</f>
        <v>0</v>
      </c>
      <c r="I240" s="117">
        <f t="shared" si="14"/>
        <v>0</v>
      </c>
    </row>
    <row r="241" spans="1:9">
      <c r="A241" s="119">
        <v>152</v>
      </c>
      <c r="B241" s="119">
        <v>48</v>
      </c>
      <c r="C241" s="131" t="s">
        <v>225</v>
      </c>
      <c r="D241" s="106">
        <v>860000</v>
      </c>
      <c r="E241" s="106">
        <f>0</f>
        <v>0</v>
      </c>
      <c r="F241" s="117">
        <f t="shared" si="13"/>
        <v>860000</v>
      </c>
      <c r="G241" s="106">
        <v>860000</v>
      </c>
      <c r="H241" s="106">
        <f>0</f>
        <v>0</v>
      </c>
      <c r="I241" s="117">
        <f t="shared" si="14"/>
        <v>860000</v>
      </c>
    </row>
    <row r="242" spans="1:9">
      <c r="A242" s="132" t="s">
        <v>58</v>
      </c>
      <c r="B242" s="132"/>
      <c r="C242" s="132"/>
      <c r="D242" s="110">
        <f>SUM(D194:D241)</f>
        <v>4548576</v>
      </c>
      <c r="E242" s="110">
        <f>SUM(E194:E241)</f>
        <v>3828200</v>
      </c>
      <c r="F242" s="110">
        <f>SUM(D242:E242)</f>
        <v>8376776</v>
      </c>
      <c r="G242" s="110">
        <f>SUM(G194:G241)</f>
        <v>3414200</v>
      </c>
      <c r="H242" s="110">
        <f>SUM(H194:H241)</f>
        <v>2217701</v>
      </c>
      <c r="I242" s="110">
        <f>SUM(G242:H242)</f>
        <v>5631901</v>
      </c>
    </row>
    <row r="243" spans="1:9">
      <c r="A243" s="108" t="s">
        <v>226</v>
      </c>
      <c r="B243" s="109"/>
      <c r="C243" s="109"/>
      <c r="D243" s="109"/>
      <c r="E243" s="109"/>
      <c r="F243" s="109"/>
      <c r="G243" s="109"/>
      <c r="H243" s="109"/>
      <c r="I243" s="113"/>
    </row>
    <row r="244" spans="1:9">
      <c r="A244" s="119">
        <v>153</v>
      </c>
      <c r="B244" s="119">
        <v>1</v>
      </c>
      <c r="C244" s="125" t="s">
        <v>227</v>
      </c>
      <c r="D244" s="106">
        <v>1054403</v>
      </c>
      <c r="E244" s="106">
        <f>0</f>
        <v>0</v>
      </c>
      <c r="F244" s="117">
        <f>SUM(D244:E244)</f>
        <v>1054403</v>
      </c>
      <c r="G244" s="106">
        <v>1058210</v>
      </c>
      <c r="H244" s="106">
        <v>70000</v>
      </c>
      <c r="I244" s="117">
        <f>SUM(G244:H244)</f>
        <v>1128210</v>
      </c>
    </row>
    <row r="245" spans="1:9">
      <c r="A245" s="108" t="s">
        <v>101</v>
      </c>
      <c r="B245" s="109"/>
      <c r="C245" s="109"/>
      <c r="D245" s="110">
        <f>D244</f>
        <v>1054403</v>
      </c>
      <c r="E245" s="110">
        <f>E244</f>
        <v>0</v>
      </c>
      <c r="F245" s="110">
        <f>SUM(D245:E245)</f>
        <v>1054403</v>
      </c>
      <c r="G245" s="110">
        <f>G244</f>
        <v>1058210</v>
      </c>
      <c r="H245" s="110">
        <f>H244</f>
        <v>70000</v>
      </c>
      <c r="I245" s="110">
        <f>SUM(G245:H245)</f>
        <v>1128210</v>
      </c>
    </row>
    <row r="246" spans="1:9">
      <c r="A246" s="108" t="s">
        <v>228</v>
      </c>
      <c r="B246" s="109"/>
      <c r="C246" s="109"/>
      <c r="D246" s="109"/>
      <c r="E246" s="109"/>
      <c r="F246" s="109"/>
      <c r="G246" s="109"/>
      <c r="H246" s="109"/>
      <c r="I246" s="113"/>
    </row>
    <row r="247" spans="1:9">
      <c r="A247" s="119">
        <v>154</v>
      </c>
      <c r="B247" s="119">
        <v>1</v>
      </c>
      <c r="C247" s="133" t="s">
        <v>229</v>
      </c>
      <c r="D247" s="106">
        <f>0</f>
        <v>0</v>
      </c>
      <c r="E247" s="134">
        <f>0</f>
        <v>0</v>
      </c>
      <c r="F247" s="117">
        <f>SUM(D247:E247)</f>
        <v>0</v>
      </c>
      <c r="G247" s="106">
        <f>0</f>
        <v>0</v>
      </c>
      <c r="H247" s="134">
        <f>0</f>
        <v>0</v>
      </c>
      <c r="I247" s="117">
        <f>SUM(G247:H247)</f>
        <v>0</v>
      </c>
    </row>
    <row r="248" spans="1:9">
      <c r="A248" s="108" t="s">
        <v>101</v>
      </c>
      <c r="B248" s="109"/>
      <c r="C248" s="109"/>
      <c r="D248" s="110">
        <f>D247</f>
        <v>0</v>
      </c>
      <c r="E248" s="110">
        <f>E247</f>
        <v>0</v>
      </c>
      <c r="F248" s="110">
        <f>SUM(D248:E248)</f>
        <v>0</v>
      </c>
      <c r="G248" s="110">
        <f>G247</f>
        <v>0</v>
      </c>
      <c r="H248" s="110">
        <f>H247</f>
        <v>0</v>
      </c>
      <c r="I248" s="110">
        <f>SUM(G248:H248)</f>
        <v>0</v>
      </c>
    </row>
    <row r="249" spans="1:9">
      <c r="A249" s="108" t="s">
        <v>230</v>
      </c>
      <c r="B249" s="109"/>
      <c r="C249" s="109"/>
      <c r="D249" s="109"/>
      <c r="E249" s="109"/>
      <c r="F249" s="109"/>
      <c r="G249" s="109"/>
      <c r="H249" s="109"/>
      <c r="I249" s="113"/>
    </row>
    <row r="250" spans="1:9" s="189" customFormat="1">
      <c r="A250" s="186">
        <v>155</v>
      </c>
      <c r="B250" s="186">
        <v>1</v>
      </c>
      <c r="C250" s="228" t="s">
        <v>231</v>
      </c>
      <c r="D250" s="187">
        <f>0</f>
        <v>0</v>
      </c>
      <c r="E250" s="187">
        <f>0</f>
        <v>0</v>
      </c>
      <c r="F250" s="188">
        <f>SUM(D250:E250)</f>
        <v>0</v>
      </c>
      <c r="G250" s="187">
        <f>0</f>
        <v>0</v>
      </c>
      <c r="H250" s="187">
        <f>0</f>
        <v>0</v>
      </c>
      <c r="I250" s="188">
        <f>SUM(G250:H250)</f>
        <v>0</v>
      </c>
    </row>
    <row r="251" spans="1:9" s="189" customFormat="1">
      <c r="A251" s="186">
        <v>156</v>
      </c>
      <c r="B251" s="186">
        <v>2</v>
      </c>
      <c r="C251" s="228" t="s">
        <v>232</v>
      </c>
      <c r="D251" s="187">
        <f>8413500+900000</f>
        <v>9313500</v>
      </c>
      <c r="E251" s="187">
        <f>0</f>
        <v>0</v>
      </c>
      <c r="F251" s="188">
        <f t="shared" ref="F251:F265" si="15">SUM(D251:E251)</f>
        <v>9313500</v>
      </c>
      <c r="G251" s="187">
        <f>0</f>
        <v>0</v>
      </c>
      <c r="H251" s="187">
        <v>1055620</v>
      </c>
      <c r="I251" s="188">
        <f t="shared" ref="I251:I265" si="16">SUM(G251:H251)</f>
        <v>1055620</v>
      </c>
    </row>
    <row r="252" spans="1:9" s="189" customFormat="1">
      <c r="A252" s="186">
        <v>157</v>
      </c>
      <c r="B252" s="186">
        <v>3</v>
      </c>
      <c r="C252" s="135" t="s">
        <v>233</v>
      </c>
      <c r="D252" s="187">
        <f>200000+50000</f>
        <v>250000</v>
      </c>
      <c r="E252" s="187">
        <v>200000</v>
      </c>
      <c r="F252" s="188">
        <f t="shared" si="15"/>
        <v>450000</v>
      </c>
      <c r="G252" s="187">
        <f>450000+300000+700000</f>
        <v>1450000</v>
      </c>
      <c r="H252" s="187">
        <f>50000+200000+100000+100000+100000</f>
        <v>550000</v>
      </c>
      <c r="I252" s="188">
        <f t="shared" si="16"/>
        <v>2000000</v>
      </c>
    </row>
    <row r="253" spans="1:9" s="189" customFormat="1">
      <c r="A253" s="186">
        <v>158</v>
      </c>
      <c r="B253" s="186">
        <v>4</v>
      </c>
      <c r="C253" s="135" t="s">
        <v>234</v>
      </c>
      <c r="D253" s="187">
        <v>120000</v>
      </c>
      <c r="E253" s="187">
        <f>0</f>
        <v>0</v>
      </c>
      <c r="F253" s="188">
        <f t="shared" si="15"/>
        <v>120000</v>
      </c>
      <c r="G253" s="187">
        <v>120000</v>
      </c>
      <c r="H253" s="187">
        <f>0</f>
        <v>0</v>
      </c>
      <c r="I253" s="188">
        <f t="shared" si="16"/>
        <v>120000</v>
      </c>
    </row>
    <row r="254" spans="1:9" s="189" customFormat="1">
      <c r="A254" s="186">
        <v>159</v>
      </c>
      <c r="B254" s="186">
        <v>5</v>
      </c>
      <c r="C254" s="135" t="s">
        <v>235</v>
      </c>
      <c r="D254" s="187">
        <v>30000</v>
      </c>
      <c r="E254" s="187">
        <f>0</f>
        <v>0</v>
      </c>
      <c r="F254" s="188">
        <f t="shared" si="15"/>
        <v>30000</v>
      </c>
      <c r="G254" s="187">
        <v>30000</v>
      </c>
      <c r="H254" s="187">
        <f>0</f>
        <v>0</v>
      </c>
      <c r="I254" s="188">
        <f t="shared" si="16"/>
        <v>30000</v>
      </c>
    </row>
    <row r="255" spans="1:9" s="189" customFormat="1">
      <c r="A255" s="186">
        <v>160</v>
      </c>
      <c r="B255" s="186">
        <v>6</v>
      </c>
      <c r="C255" s="135" t="s">
        <v>244</v>
      </c>
      <c r="D255" s="187">
        <v>10600</v>
      </c>
      <c r="E255" s="187">
        <f>0</f>
        <v>0</v>
      </c>
      <c r="F255" s="188">
        <f t="shared" si="15"/>
        <v>10600</v>
      </c>
      <c r="G255" s="187">
        <f>0</f>
        <v>0</v>
      </c>
      <c r="H255" s="187">
        <f>0</f>
        <v>0</v>
      </c>
      <c r="I255" s="188">
        <f t="shared" si="16"/>
        <v>0</v>
      </c>
    </row>
    <row r="256" spans="1:9" s="189" customFormat="1">
      <c r="A256" s="186">
        <v>161</v>
      </c>
      <c r="B256" s="186">
        <v>7</v>
      </c>
      <c r="C256" s="135" t="s">
        <v>245</v>
      </c>
      <c r="D256" s="187">
        <v>30600</v>
      </c>
      <c r="E256" s="187">
        <f>0</f>
        <v>0</v>
      </c>
      <c r="F256" s="188">
        <f t="shared" si="15"/>
        <v>30600</v>
      </c>
      <c r="G256" s="187">
        <f>0</f>
        <v>0</v>
      </c>
      <c r="H256" s="187">
        <f>0</f>
        <v>0</v>
      </c>
      <c r="I256" s="188">
        <f t="shared" si="16"/>
        <v>0</v>
      </c>
    </row>
    <row r="257" spans="1:9" s="189" customFormat="1">
      <c r="A257" s="186">
        <v>162</v>
      </c>
      <c r="B257" s="186">
        <v>8</v>
      </c>
      <c r="C257" s="135" t="s">
        <v>246</v>
      </c>
      <c r="D257" s="187">
        <f>200000+100000</f>
        <v>300000</v>
      </c>
      <c r="E257" s="187">
        <f>0</f>
        <v>0</v>
      </c>
      <c r="F257" s="188">
        <f t="shared" si="15"/>
        <v>300000</v>
      </c>
      <c r="G257" s="187">
        <v>100000</v>
      </c>
      <c r="H257" s="187">
        <f>0</f>
        <v>0</v>
      </c>
      <c r="I257" s="188">
        <f t="shared" si="16"/>
        <v>100000</v>
      </c>
    </row>
    <row r="258" spans="1:9" s="189" customFormat="1">
      <c r="A258" s="186">
        <v>163</v>
      </c>
      <c r="B258" s="186">
        <v>9</v>
      </c>
      <c r="C258" s="135" t="s">
        <v>247</v>
      </c>
      <c r="D258" s="187">
        <v>2500000</v>
      </c>
      <c r="E258" s="187">
        <f>0</f>
        <v>0</v>
      </c>
      <c r="F258" s="188">
        <f t="shared" si="15"/>
        <v>2500000</v>
      </c>
      <c r="G258" s="187">
        <f>0</f>
        <v>0</v>
      </c>
      <c r="H258" s="187">
        <f>0</f>
        <v>0</v>
      </c>
      <c r="I258" s="188">
        <f t="shared" si="16"/>
        <v>0</v>
      </c>
    </row>
    <row r="259" spans="1:9" s="189" customFormat="1">
      <c r="A259" s="186">
        <v>164</v>
      </c>
      <c r="B259" s="186">
        <v>10</v>
      </c>
      <c r="C259" s="136" t="s">
        <v>248</v>
      </c>
      <c r="D259" s="187">
        <v>100000</v>
      </c>
      <c r="E259" s="187">
        <f>0</f>
        <v>0</v>
      </c>
      <c r="F259" s="188">
        <f t="shared" si="15"/>
        <v>100000</v>
      </c>
      <c r="G259" s="187">
        <f>0</f>
        <v>0</v>
      </c>
      <c r="H259" s="187">
        <f>0</f>
        <v>0</v>
      </c>
      <c r="I259" s="188">
        <f t="shared" si="16"/>
        <v>0</v>
      </c>
    </row>
    <row r="260" spans="1:9" s="189" customFormat="1">
      <c r="A260" s="186">
        <v>165</v>
      </c>
      <c r="B260" s="186">
        <v>11</v>
      </c>
      <c r="C260" s="135" t="s">
        <v>249</v>
      </c>
      <c r="D260" s="187">
        <v>2250000</v>
      </c>
      <c r="E260" s="187">
        <f>0</f>
        <v>0</v>
      </c>
      <c r="F260" s="188">
        <f t="shared" si="15"/>
        <v>2250000</v>
      </c>
      <c r="G260" s="187">
        <f>0</f>
        <v>0</v>
      </c>
      <c r="H260" s="187">
        <f>0</f>
        <v>0</v>
      </c>
      <c r="I260" s="188">
        <f t="shared" si="16"/>
        <v>0</v>
      </c>
    </row>
    <row r="261" spans="1:9" s="189" customFormat="1">
      <c r="A261" s="186">
        <v>166</v>
      </c>
      <c r="B261" s="186">
        <v>12</v>
      </c>
      <c r="C261" s="135" t="s">
        <v>250</v>
      </c>
      <c r="D261" s="187">
        <f>0</f>
        <v>0</v>
      </c>
      <c r="E261" s="187">
        <v>50000</v>
      </c>
      <c r="F261" s="188">
        <f t="shared" si="15"/>
        <v>50000</v>
      </c>
      <c r="G261" s="187">
        <f>0</f>
        <v>0</v>
      </c>
      <c r="H261" s="187">
        <f>0</f>
        <v>0</v>
      </c>
      <c r="I261" s="188">
        <f t="shared" si="16"/>
        <v>0</v>
      </c>
    </row>
    <row r="262" spans="1:9" s="189" customFormat="1">
      <c r="A262" s="186">
        <v>167</v>
      </c>
      <c r="B262" s="186">
        <v>13</v>
      </c>
      <c r="C262" s="135" t="s">
        <v>251</v>
      </c>
      <c r="D262" s="187">
        <f>0</f>
        <v>0</v>
      </c>
      <c r="E262" s="187">
        <v>150000</v>
      </c>
      <c r="F262" s="188">
        <f t="shared" si="15"/>
        <v>150000</v>
      </c>
      <c r="G262" s="187">
        <f>0</f>
        <v>0</v>
      </c>
      <c r="H262" s="187">
        <f>0</f>
        <v>0</v>
      </c>
      <c r="I262" s="188">
        <f t="shared" si="16"/>
        <v>0</v>
      </c>
    </row>
    <row r="263" spans="1:9" s="189" customFormat="1">
      <c r="A263" s="186">
        <v>168</v>
      </c>
      <c r="B263" s="186">
        <v>14</v>
      </c>
      <c r="C263" s="135" t="s">
        <v>282</v>
      </c>
      <c r="D263" s="187"/>
      <c r="E263" s="187"/>
      <c r="F263" s="188"/>
      <c r="G263" s="187">
        <v>75000</v>
      </c>
      <c r="H263" s="187">
        <f>0</f>
        <v>0</v>
      </c>
      <c r="I263" s="188">
        <f t="shared" si="16"/>
        <v>75000</v>
      </c>
    </row>
    <row r="264" spans="1:9" s="189" customFormat="1">
      <c r="A264" s="186">
        <v>169</v>
      </c>
      <c r="B264" s="186">
        <v>15</v>
      </c>
      <c r="C264" s="135" t="s">
        <v>283</v>
      </c>
      <c r="D264" s="187"/>
      <c r="E264" s="187"/>
      <c r="F264" s="188"/>
      <c r="G264" s="187">
        <v>500000</v>
      </c>
      <c r="H264" s="187">
        <f>0</f>
        <v>0</v>
      </c>
      <c r="I264" s="188">
        <f t="shared" si="16"/>
        <v>500000</v>
      </c>
    </row>
    <row r="265" spans="1:9" s="189" customFormat="1">
      <c r="A265" s="186">
        <v>170</v>
      </c>
      <c r="B265" s="186">
        <v>16</v>
      </c>
      <c r="C265" s="135" t="s">
        <v>252</v>
      </c>
      <c r="D265" s="187">
        <f>0</f>
        <v>0</v>
      </c>
      <c r="E265" s="187">
        <f>0</f>
        <v>0</v>
      </c>
      <c r="F265" s="188">
        <f t="shared" si="15"/>
        <v>0</v>
      </c>
      <c r="G265" s="187">
        <f>0</f>
        <v>0</v>
      </c>
      <c r="H265" s="187">
        <f>0</f>
        <v>0</v>
      </c>
      <c r="I265" s="188">
        <f t="shared" si="16"/>
        <v>0</v>
      </c>
    </row>
    <row r="266" spans="1:9" ht="15.75" thickBot="1">
      <c r="A266" s="137" t="s">
        <v>101</v>
      </c>
      <c r="B266" s="138"/>
      <c r="C266" s="139"/>
      <c r="D266" s="140">
        <f>SUM(D250:D265)</f>
        <v>14904700</v>
      </c>
      <c r="E266" s="140">
        <f>SUM(E250:E265)</f>
        <v>400000</v>
      </c>
      <c r="F266" s="140">
        <f>SUM(D266:E266)</f>
        <v>15304700</v>
      </c>
      <c r="G266" s="140">
        <f>SUM(G250:G265)</f>
        <v>2275000</v>
      </c>
      <c r="H266" s="140">
        <f>SUM(H250:H265)</f>
        <v>1605620</v>
      </c>
      <c r="I266" s="140">
        <f>SUM(G266:H266)</f>
        <v>3880620</v>
      </c>
    </row>
    <row r="267" spans="1:9" ht="16.5" thickTop="1" thickBot="1">
      <c r="A267" s="141" t="s">
        <v>253</v>
      </c>
      <c r="B267" s="142"/>
      <c r="C267" s="142"/>
      <c r="D267" s="143">
        <f>D266+D248+D245+D242+D192+D167+D145+D123+D120+D117+D111+D99+D83+D71</f>
        <v>128548302</v>
      </c>
      <c r="E267" s="143">
        <f>E266+E248+E245+E242+E192+E167+E145+E123+E120+E117+E111+E99+E83+E71</f>
        <v>45204051</v>
      </c>
      <c r="F267" s="143">
        <f>SUM(D267:E267)</f>
        <v>173752353</v>
      </c>
      <c r="G267" s="143">
        <f>G266+G248+G245+G242+G192+G167+G145+G123+G120+G117+G111+G99+G83+G71</f>
        <v>106058686</v>
      </c>
      <c r="H267" s="143">
        <f>H266+H248+H245+H242+H192+H167+H145+H123+H120+H117+H111+H99+H83+H71</f>
        <v>44157494</v>
      </c>
      <c r="I267" s="143">
        <f>SUM(G267:H267)</f>
        <v>150216180</v>
      </c>
    </row>
    <row r="268" spans="1:9" ht="15.75" thickTop="1">
      <c r="A268" s="144"/>
      <c r="B268" s="145"/>
      <c r="C268" s="145"/>
      <c r="D268" s="145"/>
      <c r="E268" s="145"/>
      <c r="F268" s="145"/>
      <c r="G268" s="145"/>
      <c r="H268" s="145"/>
      <c r="I268" s="145"/>
    </row>
    <row r="269" spans="1:9">
      <c r="A269" s="146" t="s">
        <v>254</v>
      </c>
      <c r="B269" s="146"/>
      <c r="C269" s="146"/>
      <c r="D269" s="146"/>
      <c r="E269" s="146"/>
      <c r="F269" s="146"/>
      <c r="G269" s="146"/>
      <c r="H269" s="146"/>
      <c r="I269" s="146"/>
    </row>
    <row r="270" spans="1:9">
      <c r="A270" s="144"/>
      <c r="B270" s="147" t="s">
        <v>284</v>
      </c>
      <c r="C270" s="147"/>
      <c r="D270" s="147"/>
      <c r="E270" s="147"/>
      <c r="F270" s="147"/>
      <c r="G270" s="147"/>
      <c r="H270" s="147"/>
      <c r="I270" s="147"/>
    </row>
    <row r="271" spans="1:9">
      <c r="A271" s="148" t="s">
        <v>256</v>
      </c>
      <c r="B271" s="149" t="s">
        <v>23</v>
      </c>
      <c r="C271" s="150" t="s">
        <v>24</v>
      </c>
      <c r="D271" s="151"/>
      <c r="E271" s="151"/>
      <c r="F271" s="151"/>
      <c r="G271" s="151"/>
      <c r="H271" s="152"/>
      <c r="I271" s="153" t="s">
        <v>101</v>
      </c>
    </row>
    <row r="272" spans="1:9">
      <c r="A272" s="144"/>
      <c r="B272" s="154"/>
      <c r="C272" s="155"/>
      <c r="D272" s="156"/>
      <c r="E272" s="156"/>
      <c r="F272" s="156"/>
      <c r="G272" s="156"/>
      <c r="H272" s="157"/>
      <c r="I272" s="153" t="s">
        <v>257</v>
      </c>
    </row>
    <row r="273" spans="1:9">
      <c r="A273" s="144"/>
      <c r="B273" s="158"/>
      <c r="C273" s="159" t="s">
        <v>258</v>
      </c>
      <c r="D273" s="160"/>
      <c r="E273" s="160"/>
      <c r="F273" s="160"/>
      <c r="G273" s="160"/>
      <c r="H273" s="161"/>
      <c r="I273" s="162"/>
    </row>
    <row r="274" spans="1:9">
      <c r="A274" s="144"/>
      <c r="B274" s="163">
        <v>1</v>
      </c>
      <c r="C274" s="190" t="s">
        <v>285</v>
      </c>
      <c r="D274" s="191"/>
      <c r="E274" s="191"/>
      <c r="F274" s="191"/>
      <c r="G274" s="191"/>
      <c r="H274" s="192"/>
      <c r="I274" s="167">
        <v>6260000</v>
      </c>
    </row>
    <row r="275" spans="1:9">
      <c r="A275" s="144"/>
      <c r="B275" s="163">
        <v>2</v>
      </c>
      <c r="C275" s="190" t="s">
        <v>286</v>
      </c>
      <c r="D275" s="191"/>
      <c r="E275" s="191"/>
      <c r="F275" s="191"/>
      <c r="G275" s="191"/>
      <c r="H275" s="192"/>
      <c r="I275" s="167">
        <v>780000</v>
      </c>
    </row>
    <row r="276" spans="1:9">
      <c r="A276" s="144"/>
      <c r="B276" s="163">
        <v>3</v>
      </c>
      <c r="C276" s="164" t="s">
        <v>287</v>
      </c>
      <c r="D276" s="165"/>
      <c r="E276" s="165"/>
      <c r="F276" s="165"/>
      <c r="G276" s="165"/>
      <c r="H276" s="166"/>
      <c r="I276" s="167">
        <v>34420</v>
      </c>
    </row>
    <row r="277" spans="1:9">
      <c r="A277" s="168"/>
      <c r="B277" s="169" t="s">
        <v>58</v>
      </c>
      <c r="C277" s="170"/>
      <c r="D277" s="170"/>
      <c r="E277" s="170"/>
      <c r="F277" s="170"/>
      <c r="G277" s="170"/>
      <c r="H277" s="171"/>
      <c r="I277" s="172">
        <f>SUM(I274:I276)</f>
        <v>7074420</v>
      </c>
    </row>
    <row r="278" spans="1:9">
      <c r="A278" s="145"/>
      <c r="B278" s="145"/>
      <c r="C278" s="145"/>
      <c r="D278" s="145"/>
      <c r="E278" s="145"/>
      <c r="F278" s="145"/>
      <c r="G278" s="145"/>
      <c r="H278" s="145"/>
      <c r="I278" s="145"/>
    </row>
    <row r="279" spans="1:9">
      <c r="A279" s="148" t="s">
        <v>260</v>
      </c>
      <c r="B279" s="149" t="s">
        <v>23</v>
      </c>
      <c r="C279" s="150" t="s">
        <v>24</v>
      </c>
      <c r="D279" s="151"/>
      <c r="E279" s="151"/>
      <c r="F279" s="151"/>
      <c r="G279" s="151"/>
      <c r="H279" s="152"/>
      <c r="I279" s="153" t="s">
        <v>101</v>
      </c>
    </row>
    <row r="280" spans="1:9">
      <c r="A280" s="145"/>
      <c r="B280" s="154"/>
      <c r="C280" s="155"/>
      <c r="D280" s="156"/>
      <c r="E280" s="156"/>
      <c r="F280" s="156"/>
      <c r="G280" s="156"/>
      <c r="H280" s="157"/>
      <c r="I280" s="153" t="s">
        <v>257</v>
      </c>
    </row>
    <row r="281" spans="1:9">
      <c r="A281" s="145"/>
      <c r="B281" s="158"/>
      <c r="C281" s="159" t="s">
        <v>261</v>
      </c>
      <c r="D281" s="160"/>
      <c r="E281" s="160"/>
      <c r="F281" s="160"/>
      <c r="G281" s="160"/>
      <c r="H281" s="161"/>
      <c r="I281" s="173"/>
    </row>
    <row r="282" spans="1:9">
      <c r="A282" s="145"/>
      <c r="B282" s="163">
        <v>1</v>
      </c>
      <c r="C282" s="174" t="s">
        <v>288</v>
      </c>
      <c r="D282" s="175"/>
      <c r="E282" s="175"/>
      <c r="F282" s="175"/>
      <c r="G282" s="175"/>
      <c r="H282" s="175"/>
      <c r="I282" s="173">
        <v>3445850</v>
      </c>
    </row>
    <row r="283" spans="1:9">
      <c r="A283" s="145"/>
      <c r="B283" s="163">
        <v>2</v>
      </c>
      <c r="C283" s="174" t="s">
        <v>289</v>
      </c>
      <c r="D283" s="177"/>
      <c r="E283" s="177"/>
      <c r="F283" s="177"/>
      <c r="G283" s="177"/>
      <c r="H283" s="177"/>
      <c r="I283" s="173">
        <v>4712500</v>
      </c>
    </row>
    <row r="284" spans="1:9">
      <c r="A284" s="145"/>
      <c r="B284" s="163">
        <v>3</v>
      </c>
      <c r="C284" s="174" t="s">
        <v>290</v>
      </c>
      <c r="D284" s="177"/>
      <c r="E284" s="177"/>
      <c r="F284" s="177"/>
      <c r="G284" s="177"/>
      <c r="H284" s="177"/>
      <c r="I284" s="173">
        <f>1498988+1847115</f>
        <v>3346103</v>
      </c>
    </row>
    <row r="285" spans="1:9">
      <c r="A285" s="145"/>
      <c r="B285" s="163">
        <v>4</v>
      </c>
      <c r="C285" s="174" t="s">
        <v>291</v>
      </c>
      <c r="D285" s="177"/>
      <c r="E285" s="177"/>
      <c r="F285" s="177"/>
      <c r="G285" s="177"/>
      <c r="H285" s="177"/>
      <c r="I285" s="173">
        <v>3057350</v>
      </c>
    </row>
    <row r="286" spans="1:9">
      <c r="A286" s="145"/>
      <c r="B286" s="163">
        <v>5</v>
      </c>
      <c r="C286" s="174" t="s">
        <v>292</v>
      </c>
      <c r="D286" s="177"/>
      <c r="E286" s="177"/>
      <c r="F286" s="177"/>
      <c r="G286" s="177"/>
      <c r="H286" s="177"/>
      <c r="I286" s="173">
        <v>1000000</v>
      </c>
    </row>
    <row r="287" spans="1:9">
      <c r="A287" s="145"/>
      <c r="B287" s="163">
        <v>6</v>
      </c>
      <c r="C287" s="176" t="s">
        <v>293</v>
      </c>
      <c r="D287" s="177"/>
      <c r="E287" s="177"/>
      <c r="F287" s="177"/>
      <c r="G287" s="177"/>
      <c r="H287" s="177"/>
      <c r="I287" s="173">
        <v>166400</v>
      </c>
    </row>
    <row r="288" spans="1:9">
      <c r="A288" s="145"/>
      <c r="B288" s="163">
        <v>7</v>
      </c>
      <c r="C288" s="176" t="s">
        <v>294</v>
      </c>
      <c r="D288" s="177"/>
      <c r="E288" s="177"/>
      <c r="F288" s="177"/>
      <c r="G288" s="177"/>
      <c r="H288" s="177"/>
      <c r="I288" s="173">
        <v>341000</v>
      </c>
    </row>
    <row r="289" spans="1:9">
      <c r="A289" s="145"/>
      <c r="B289" s="163">
        <v>8</v>
      </c>
      <c r="C289" s="176" t="s">
        <v>259</v>
      </c>
      <c r="D289" s="177"/>
      <c r="E289" s="177"/>
      <c r="F289" s="177"/>
      <c r="G289" s="177"/>
      <c r="H289" s="177"/>
      <c r="I289" s="173">
        <v>1055620</v>
      </c>
    </row>
    <row r="290" spans="1:9">
      <c r="A290" s="168"/>
      <c r="B290" s="178" t="s">
        <v>58</v>
      </c>
      <c r="C290" s="179"/>
      <c r="D290" s="179"/>
      <c r="E290" s="179"/>
      <c r="F290" s="179"/>
      <c r="G290" s="179"/>
      <c r="H290" s="179"/>
      <c r="I290" s="172">
        <f>SUM(I282:I289)</f>
        <v>17124823</v>
      </c>
    </row>
    <row r="291" spans="1:9">
      <c r="A291" s="144"/>
      <c r="B291" s="144"/>
      <c r="C291" s="144"/>
      <c r="D291" s="144"/>
      <c r="E291" s="144"/>
      <c r="F291" s="144"/>
      <c r="G291" s="144"/>
      <c r="H291" s="144"/>
      <c r="I291" s="144" t="s">
        <v>265</v>
      </c>
    </row>
    <row r="292" spans="1:9">
      <c r="A292" s="144"/>
      <c r="B292" s="144"/>
      <c r="C292" s="144"/>
      <c r="D292" s="180"/>
      <c r="G292" s="180" t="s">
        <v>295</v>
      </c>
      <c r="H292" s="180"/>
    </row>
    <row r="293" spans="1:9">
      <c r="A293" s="144"/>
      <c r="B293" s="144"/>
      <c r="C293" s="180" t="s">
        <v>42</v>
      </c>
      <c r="D293" s="181"/>
      <c r="G293" s="180" t="s">
        <v>267</v>
      </c>
      <c r="H293" s="180"/>
    </row>
    <row r="294" spans="1:9">
      <c r="A294" s="144"/>
      <c r="B294" s="144"/>
      <c r="C294" s="144"/>
      <c r="D294" s="182"/>
      <c r="G294" s="144"/>
      <c r="H294" s="144"/>
    </row>
    <row r="295" spans="1:9">
      <c r="A295" s="144"/>
      <c r="B295" s="183"/>
      <c r="C295" s="184" t="s">
        <v>44</v>
      </c>
      <c r="D295" s="184"/>
      <c r="E295" s="193"/>
      <c r="F295" s="193"/>
      <c r="G295" s="184" t="s">
        <v>44</v>
      </c>
      <c r="H295" s="144"/>
    </row>
    <row r="296" spans="1:9">
      <c r="A296" s="144"/>
      <c r="B296" s="183"/>
      <c r="C296" s="180" t="s">
        <v>268</v>
      </c>
      <c r="D296" s="144"/>
      <c r="G296" s="180" t="s">
        <v>269</v>
      </c>
      <c r="H296" s="185"/>
    </row>
  </sheetData>
  <mergeCells count="63">
    <mergeCell ref="B277:H277"/>
    <mergeCell ref="B279:B280"/>
    <mergeCell ref="C279:H280"/>
    <mergeCell ref="C281:H281"/>
    <mergeCell ref="B290:H290"/>
    <mergeCell ref="A267:C267"/>
    <mergeCell ref="A269:I269"/>
    <mergeCell ref="B270:I270"/>
    <mergeCell ref="B271:B272"/>
    <mergeCell ref="C271:H272"/>
    <mergeCell ref="C273:H273"/>
    <mergeCell ref="A243:I243"/>
    <mergeCell ref="A245:C245"/>
    <mergeCell ref="A246:I246"/>
    <mergeCell ref="A248:C248"/>
    <mergeCell ref="A249:I249"/>
    <mergeCell ref="A266:C266"/>
    <mergeCell ref="A146:I146"/>
    <mergeCell ref="A167:C167"/>
    <mergeCell ref="A168:I168"/>
    <mergeCell ref="A192:C192"/>
    <mergeCell ref="A193:I193"/>
    <mergeCell ref="A242:C242"/>
    <mergeCell ref="A118:I118"/>
    <mergeCell ref="A120:C120"/>
    <mergeCell ref="A121:I121"/>
    <mergeCell ref="A123:C123"/>
    <mergeCell ref="A124:I124"/>
    <mergeCell ref="A145:C145"/>
    <mergeCell ref="A84:I84"/>
    <mergeCell ref="A99:C99"/>
    <mergeCell ref="A100:I100"/>
    <mergeCell ref="A111:C111"/>
    <mergeCell ref="A112:I112"/>
    <mergeCell ref="A117:C117"/>
    <mergeCell ref="D67:E67"/>
    <mergeCell ref="G67:H67"/>
    <mergeCell ref="A69:I69"/>
    <mergeCell ref="A71:C71"/>
    <mergeCell ref="A72:I72"/>
    <mergeCell ref="A83:C83"/>
    <mergeCell ref="E52:F52"/>
    <mergeCell ref="A62:I62"/>
    <mergeCell ref="A63:I63"/>
    <mergeCell ref="A64:I64"/>
    <mergeCell ref="A66:A68"/>
    <mergeCell ref="B66:C68"/>
    <mergeCell ref="D66:E66"/>
    <mergeCell ref="F66:F68"/>
    <mergeCell ref="G66:H66"/>
    <mergeCell ref="I66:I68"/>
    <mergeCell ref="A8:B8"/>
    <mergeCell ref="A9:B9"/>
    <mergeCell ref="A10:B10"/>
    <mergeCell ref="E23:F23"/>
    <mergeCell ref="E49:F49"/>
    <mergeCell ref="E51:F51"/>
    <mergeCell ref="A1:F1"/>
    <mergeCell ref="A2:F2"/>
    <mergeCell ref="A3:F3"/>
    <mergeCell ref="A4:F4"/>
    <mergeCell ref="A5:F5"/>
    <mergeCell ref="E7:F7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4"/>
  <sheetViews>
    <sheetView topLeftCell="A25" workbookViewId="0">
      <selection activeCell="A250" sqref="A250:XFD261"/>
    </sheetView>
  </sheetViews>
  <sheetFormatPr defaultRowHeight="15"/>
  <cols>
    <col min="1" max="1" width="5" customWidth="1"/>
    <col min="2" max="2" width="6" customWidth="1"/>
    <col min="3" max="3" width="34" customWidth="1"/>
    <col min="4" max="6" width="21.7109375" customWidth="1"/>
    <col min="7" max="8" width="13.7109375" customWidth="1"/>
    <col min="9" max="9" width="14.7109375" customWidth="1"/>
  </cols>
  <sheetData>
    <row r="1" spans="1:6" ht="33">
      <c r="A1" s="1" t="s">
        <v>0</v>
      </c>
      <c r="B1" s="1"/>
      <c r="C1" s="1"/>
      <c r="D1" s="1"/>
      <c r="E1" s="1"/>
      <c r="F1" s="1"/>
    </row>
    <row r="2" spans="1:6" ht="33">
      <c r="A2" s="2" t="s">
        <v>1</v>
      </c>
      <c r="B2" s="2"/>
      <c r="C2" s="2"/>
      <c r="D2" s="2"/>
      <c r="E2" s="2"/>
      <c r="F2" s="2"/>
    </row>
    <row r="3" spans="1:6" ht="33">
      <c r="A3" s="2" t="s">
        <v>2</v>
      </c>
      <c r="B3" s="2"/>
      <c r="C3" s="2"/>
      <c r="D3" s="2"/>
      <c r="E3" s="2"/>
      <c r="F3" s="2"/>
    </row>
    <row r="4" spans="1:6">
      <c r="A4" s="3" t="s">
        <v>3</v>
      </c>
      <c r="B4" s="3"/>
      <c r="C4" s="3"/>
      <c r="D4" s="3"/>
      <c r="E4" s="3"/>
      <c r="F4" s="3"/>
    </row>
    <row r="5" spans="1:6">
      <c r="A5" s="4" t="s">
        <v>4</v>
      </c>
      <c r="B5" s="4"/>
      <c r="C5" s="4"/>
      <c r="D5" s="4"/>
      <c r="E5" s="4"/>
      <c r="F5" s="4"/>
    </row>
    <row r="6" spans="1:6">
      <c r="A6" s="5"/>
      <c r="B6" s="5"/>
      <c r="C6" s="5"/>
      <c r="D6" s="5"/>
      <c r="E6" s="5"/>
      <c r="F6" s="5"/>
    </row>
    <row r="7" spans="1:6" ht="18.75">
      <c r="A7" s="6"/>
      <c r="B7" s="6"/>
      <c r="C7" s="6"/>
      <c r="D7" s="6"/>
      <c r="E7" s="7" t="s">
        <v>296</v>
      </c>
      <c r="F7" s="7"/>
    </row>
    <row r="8" spans="1:6" ht="18.75">
      <c r="A8" s="8" t="s">
        <v>6</v>
      </c>
      <c r="B8" s="8"/>
      <c r="C8" s="9" t="s">
        <v>297</v>
      </c>
      <c r="D8" s="10"/>
      <c r="E8" s="9"/>
      <c r="F8" s="10"/>
    </row>
    <row r="9" spans="1:6" ht="18.75">
      <c r="A9" s="8" t="s">
        <v>8</v>
      </c>
      <c r="B9" s="8"/>
      <c r="C9" s="9" t="s">
        <v>9</v>
      </c>
      <c r="D9" s="10"/>
      <c r="E9" s="9"/>
      <c r="F9" s="9"/>
    </row>
    <row r="10" spans="1:6" ht="18.75">
      <c r="A10" s="8" t="s">
        <v>10</v>
      </c>
      <c r="B10" s="8"/>
      <c r="C10" s="9" t="s">
        <v>11</v>
      </c>
      <c r="D10" s="10"/>
      <c r="E10" s="9"/>
      <c r="F10" s="9"/>
    </row>
    <row r="11" spans="1:6" ht="18.75">
      <c r="A11" s="9"/>
      <c r="B11" s="9"/>
      <c r="C11" s="9"/>
      <c r="D11" s="9"/>
      <c r="E11" s="9"/>
      <c r="F11" s="9"/>
    </row>
    <row r="12" spans="1:6" ht="18.75">
      <c r="A12" s="9"/>
      <c r="B12" s="9" t="s">
        <v>12</v>
      </c>
      <c r="C12" s="10"/>
      <c r="D12" s="10"/>
      <c r="E12" s="9"/>
      <c r="F12" s="9"/>
    </row>
    <row r="13" spans="1:6" ht="18.75">
      <c r="A13" s="9"/>
      <c r="B13" s="9" t="s">
        <v>13</v>
      </c>
      <c r="C13" s="10"/>
      <c r="D13" s="10"/>
      <c r="E13" s="9"/>
      <c r="F13" s="9"/>
    </row>
    <row r="14" spans="1:6" ht="18.75">
      <c r="A14" s="9"/>
      <c r="B14" s="9" t="s">
        <v>14</v>
      </c>
      <c r="C14" s="10"/>
      <c r="D14" s="10"/>
      <c r="E14" s="9"/>
      <c r="F14" s="9"/>
    </row>
    <row r="15" spans="1:6" ht="18.75">
      <c r="A15" s="9"/>
      <c r="B15" s="9" t="s">
        <v>15</v>
      </c>
      <c r="C15" s="10"/>
      <c r="D15" s="10"/>
      <c r="E15" s="9"/>
      <c r="F15" s="9"/>
    </row>
    <row r="16" spans="1:6" ht="18.75">
      <c r="A16" s="9"/>
      <c r="B16" s="9" t="s">
        <v>16</v>
      </c>
      <c r="C16" s="10"/>
      <c r="D16" s="10"/>
      <c r="E16" s="9"/>
      <c r="F16" s="9"/>
    </row>
    <row r="17" spans="1:6" ht="18.75">
      <c r="A17" s="9"/>
      <c r="B17" s="9" t="s">
        <v>17</v>
      </c>
      <c r="C17" s="9"/>
      <c r="D17" s="10"/>
      <c r="E17" s="9"/>
      <c r="F17" s="9"/>
    </row>
    <row r="18" spans="1:6" ht="18.75">
      <c r="A18" s="9"/>
      <c r="B18" s="9" t="s">
        <v>18</v>
      </c>
      <c r="C18" s="9"/>
      <c r="D18" s="10"/>
      <c r="E18" s="9"/>
      <c r="F18" s="9"/>
    </row>
    <row r="19" spans="1:6" ht="18.75">
      <c r="A19" s="9"/>
      <c r="B19" s="10"/>
      <c r="C19" s="9"/>
      <c r="D19" s="9"/>
      <c r="E19" s="9"/>
      <c r="F19" s="9"/>
    </row>
    <row r="20" spans="1:6" ht="19.5">
      <c r="A20" s="9"/>
      <c r="B20" s="11" t="s">
        <v>19</v>
      </c>
      <c r="C20" s="12"/>
      <c r="D20" s="12"/>
      <c r="E20" s="9"/>
      <c r="F20" s="10"/>
    </row>
    <row r="21" spans="1:6" ht="18.75">
      <c r="A21" s="9"/>
      <c r="B21" s="13" t="s">
        <v>20</v>
      </c>
      <c r="C21" s="13"/>
      <c r="D21" s="13"/>
      <c r="E21" s="13"/>
      <c r="F21" s="10"/>
    </row>
    <row r="22" spans="1:6" ht="18.75">
      <c r="A22" s="9"/>
      <c r="B22" s="13" t="s">
        <v>298</v>
      </c>
      <c r="C22" s="13"/>
      <c r="D22" s="13"/>
      <c r="E22" s="13"/>
      <c r="F22" s="10"/>
    </row>
    <row r="23" spans="1:6" ht="15.75">
      <c r="A23" s="14"/>
      <c r="B23" s="14"/>
      <c r="C23" s="14"/>
      <c r="D23" s="14"/>
      <c r="E23" s="15" t="s">
        <v>22</v>
      </c>
      <c r="F23" s="15"/>
    </row>
    <row r="24" spans="1:6" ht="18.75">
      <c r="A24" s="14"/>
      <c r="B24" s="16" t="s">
        <v>23</v>
      </c>
      <c r="C24" s="16" t="s">
        <v>24</v>
      </c>
      <c r="D24" s="17" t="s">
        <v>25</v>
      </c>
      <c r="E24" s="17" t="s">
        <v>26</v>
      </c>
      <c r="F24" s="17" t="s">
        <v>27</v>
      </c>
    </row>
    <row r="25" spans="1:6" ht="18.75">
      <c r="A25" s="14"/>
      <c r="B25" s="18"/>
      <c r="C25" s="18"/>
      <c r="D25" s="19"/>
      <c r="E25" s="19"/>
      <c r="F25" s="19"/>
    </row>
    <row r="26" spans="1:6" ht="15.75">
      <c r="A26" s="14"/>
      <c r="B26" s="20">
        <v>1</v>
      </c>
      <c r="C26" s="21" t="s">
        <v>28</v>
      </c>
      <c r="D26" s="22"/>
      <c r="E26" s="22"/>
      <c r="F26" s="23"/>
    </row>
    <row r="27" spans="1:6" ht="15.75">
      <c r="A27" s="14"/>
      <c r="B27" s="20"/>
      <c r="C27" s="21" t="s">
        <v>29</v>
      </c>
      <c r="D27" s="22"/>
      <c r="E27" s="22"/>
      <c r="F27" s="23"/>
    </row>
    <row r="28" spans="1:6" ht="15.75">
      <c r="A28" s="14"/>
      <c r="B28" s="24"/>
      <c r="C28" s="25" t="s">
        <v>299</v>
      </c>
      <c r="D28" s="26"/>
      <c r="E28" s="26"/>
      <c r="F28" s="26">
        <f>[3]FEBRUARI!F28</f>
        <v>1460977185</v>
      </c>
    </row>
    <row r="29" spans="1:6" ht="15.75">
      <c r="A29" s="14"/>
      <c r="B29" s="24"/>
      <c r="C29" s="25" t="s">
        <v>300</v>
      </c>
      <c r="D29" s="27">
        <f>[4]maret!$G$202</f>
        <v>124806952</v>
      </c>
      <c r="E29" s="28"/>
      <c r="F29" s="26"/>
    </row>
    <row r="30" spans="1:6" ht="15.75">
      <c r="A30" s="14"/>
      <c r="B30" s="24"/>
      <c r="C30" s="25" t="s">
        <v>301</v>
      </c>
      <c r="D30" s="26"/>
      <c r="E30" s="29">
        <f>[4]maret!$I$222</f>
        <v>265005000</v>
      </c>
      <c r="F30" s="26"/>
    </row>
    <row r="31" spans="1:6" ht="15.75">
      <c r="A31" s="14"/>
      <c r="B31" s="24"/>
      <c r="C31" s="30" t="s">
        <v>33</v>
      </c>
      <c r="D31" s="26"/>
      <c r="E31" s="29"/>
      <c r="F31" s="31">
        <f>F28+D29-E30</f>
        <v>1320779137</v>
      </c>
    </row>
    <row r="32" spans="1:6" ht="15.75">
      <c r="A32" s="14"/>
      <c r="B32" s="20"/>
      <c r="C32" s="32" t="s">
        <v>34</v>
      </c>
      <c r="D32" s="33"/>
      <c r="E32" s="33"/>
      <c r="F32" s="34"/>
    </row>
    <row r="33" spans="1:6" ht="15.75">
      <c r="A33" s="14"/>
      <c r="B33" s="24"/>
      <c r="C33" s="35" t="s">
        <v>299</v>
      </c>
      <c r="D33" s="29"/>
      <c r="E33" s="36"/>
      <c r="F33" s="37">
        <f>[3]JANUARI!F33</f>
        <v>2550000</v>
      </c>
    </row>
    <row r="34" spans="1:6" ht="15.75">
      <c r="A34" s="14"/>
      <c r="B34" s="24"/>
      <c r="C34" s="25" t="s">
        <v>300</v>
      </c>
      <c r="D34" s="37">
        <f>0</f>
        <v>0</v>
      </c>
      <c r="E34" s="36"/>
      <c r="F34" s="37"/>
    </row>
    <row r="35" spans="1:6" ht="15.75">
      <c r="A35" s="14"/>
      <c r="B35" s="24"/>
      <c r="C35" s="25" t="s">
        <v>301</v>
      </c>
      <c r="D35" s="29"/>
      <c r="E35" s="36">
        <f>0</f>
        <v>0</v>
      </c>
      <c r="F35" s="37"/>
    </row>
    <row r="36" spans="1:6" ht="15.75">
      <c r="A36" s="14"/>
      <c r="B36" s="24"/>
      <c r="C36" s="30" t="s">
        <v>33</v>
      </c>
      <c r="D36" s="38"/>
      <c r="E36" s="38"/>
      <c r="F36" s="31">
        <f>F33+D34-E35</f>
        <v>2550000</v>
      </c>
    </row>
    <row r="37" spans="1:6" ht="15.75">
      <c r="A37" s="14"/>
      <c r="B37" s="24"/>
      <c r="C37" s="30" t="s">
        <v>35</v>
      </c>
      <c r="D37" s="31">
        <f>D29+D34</f>
        <v>124806952</v>
      </c>
      <c r="E37" s="39">
        <f>E30+E35</f>
        <v>265005000</v>
      </c>
      <c r="F37" s="40">
        <f>F31+F36</f>
        <v>1323329137</v>
      </c>
    </row>
    <row r="38" spans="1:6" ht="15.75">
      <c r="A38" s="14"/>
      <c r="B38" s="20">
        <v>2</v>
      </c>
      <c r="C38" s="32" t="s">
        <v>36</v>
      </c>
      <c r="D38" s="33"/>
      <c r="E38" s="41"/>
      <c r="F38" s="42"/>
    </row>
    <row r="39" spans="1:6" ht="15.75">
      <c r="A39" s="14"/>
      <c r="B39" s="20"/>
      <c r="C39" s="32" t="s">
        <v>29</v>
      </c>
      <c r="D39" s="33"/>
      <c r="E39" s="41"/>
      <c r="F39" s="42"/>
    </row>
    <row r="40" spans="1:6" ht="15.75">
      <c r="A40" s="43"/>
      <c r="B40" s="24"/>
      <c r="C40" s="25" t="s">
        <v>302</v>
      </c>
      <c r="D40" s="26"/>
      <c r="E40" s="44"/>
      <c r="F40" s="39">
        <f>[3]FEBRUARI!F40</f>
        <v>933377838</v>
      </c>
    </row>
    <row r="41" spans="1:6" ht="15.75">
      <c r="A41" s="45"/>
      <c r="B41" s="24"/>
      <c r="C41" s="25" t="s">
        <v>300</v>
      </c>
      <c r="D41" s="46">
        <f>[4]maret!$H$202</f>
        <v>44613251</v>
      </c>
      <c r="E41" s="47"/>
      <c r="F41" s="44"/>
    </row>
    <row r="42" spans="1:6" ht="15.75">
      <c r="A42" s="14"/>
      <c r="B42" s="24"/>
      <c r="C42" s="25" t="s">
        <v>301</v>
      </c>
      <c r="D42" s="28"/>
      <c r="E42" s="48">
        <f>[4]maret!$I$237</f>
        <v>35372777</v>
      </c>
      <c r="F42" s="44"/>
    </row>
    <row r="43" spans="1:6" ht="15.75">
      <c r="A43" s="14"/>
      <c r="B43" s="20"/>
      <c r="C43" s="49" t="s">
        <v>37</v>
      </c>
      <c r="D43" s="38"/>
      <c r="E43" s="50"/>
      <c r="F43" s="51">
        <f>F40+D41-E42</f>
        <v>942618312</v>
      </c>
    </row>
    <row r="44" spans="1:6" ht="15.75">
      <c r="A44" s="14"/>
      <c r="B44" s="24"/>
      <c r="C44" s="52" t="s">
        <v>303</v>
      </c>
      <c r="D44" s="53">
        <f>D29+D41</f>
        <v>169420203</v>
      </c>
      <c r="E44" s="53">
        <f>E30+E42</f>
        <v>300377777</v>
      </c>
      <c r="F44" s="31">
        <f>F37+F43</f>
        <v>2265947449</v>
      </c>
    </row>
    <row r="45" spans="1:6" ht="15.75">
      <c r="B45" s="194" t="s">
        <v>39</v>
      </c>
      <c r="C45" s="54"/>
      <c r="D45" s="54"/>
      <c r="E45" s="54"/>
      <c r="F45" s="54"/>
    </row>
    <row r="46" spans="1:6" ht="18.75">
      <c r="A46" s="55"/>
      <c r="B46" s="56"/>
      <c r="C46" s="10"/>
      <c r="D46" s="57"/>
      <c r="E46" s="10"/>
      <c r="F46" s="58"/>
    </row>
    <row r="47" spans="1:6" ht="18.75">
      <c r="A47" s="14"/>
      <c r="B47" s="59"/>
      <c r="C47" s="60" t="s">
        <v>40</v>
      </c>
      <c r="D47" s="61"/>
      <c r="E47" s="60"/>
      <c r="F47" s="58"/>
    </row>
    <row r="48" spans="1:6" ht="19.5">
      <c r="A48" s="62"/>
      <c r="B48" s="59"/>
      <c r="C48" s="63" t="s">
        <v>41</v>
      </c>
      <c r="D48" s="64"/>
      <c r="E48" s="65"/>
      <c r="F48" s="66"/>
    </row>
    <row r="49" spans="1:9" ht="18.75">
      <c r="A49" s="62"/>
      <c r="B49" s="62"/>
      <c r="C49" s="67" t="s">
        <v>42</v>
      </c>
      <c r="D49" s="10"/>
      <c r="E49" s="68" t="s">
        <v>43</v>
      </c>
      <c r="F49" s="68"/>
    </row>
    <row r="50" spans="1:9" ht="18.75">
      <c r="A50" s="62"/>
      <c r="B50" s="62"/>
      <c r="C50" s="67"/>
      <c r="D50" s="10"/>
      <c r="E50" s="69"/>
      <c r="F50" s="69"/>
    </row>
    <row r="51" spans="1:9" ht="18.75">
      <c r="A51" s="62"/>
      <c r="B51" s="62"/>
      <c r="C51" s="195" t="s">
        <v>44</v>
      </c>
      <c r="D51" s="196"/>
      <c r="E51" s="197" t="s">
        <v>44</v>
      </c>
      <c r="F51" s="197"/>
    </row>
    <row r="52" spans="1:9" ht="18.75">
      <c r="A52" s="62"/>
      <c r="B52" s="62"/>
      <c r="C52" s="73" t="s">
        <v>45</v>
      </c>
      <c r="D52" s="74"/>
      <c r="E52" s="75" t="s">
        <v>46</v>
      </c>
      <c r="F52" s="75"/>
    </row>
    <row r="53" spans="1:9" ht="15.75">
      <c r="A53" s="62"/>
      <c r="B53" s="62"/>
      <c r="C53" s="62"/>
      <c r="D53" s="62"/>
      <c r="E53" s="62"/>
      <c r="F53" s="62"/>
    </row>
    <row r="54" spans="1:9" ht="18.75">
      <c r="A54" s="59"/>
      <c r="B54" s="76" t="s">
        <v>47</v>
      </c>
      <c r="C54" s="9"/>
      <c r="D54" s="77"/>
      <c r="E54" s="62"/>
      <c r="F54" s="62"/>
    </row>
    <row r="55" spans="1:9" ht="18.75">
      <c r="A55" s="59"/>
      <c r="B55" s="9" t="s">
        <v>48</v>
      </c>
      <c r="C55" s="9"/>
      <c r="D55" s="78"/>
      <c r="E55" s="62"/>
      <c r="F55" s="62"/>
    </row>
    <row r="56" spans="1:9" ht="18.75">
      <c r="A56" s="59"/>
      <c r="B56" s="9" t="s">
        <v>49</v>
      </c>
      <c r="C56" s="9"/>
      <c r="D56" s="14"/>
      <c r="E56" s="62"/>
      <c r="F56" s="62"/>
    </row>
    <row r="57" spans="1:9" ht="18.75">
      <c r="A57" s="59"/>
      <c r="B57" s="9" t="s">
        <v>50</v>
      </c>
      <c r="C57" s="9"/>
      <c r="D57" s="14"/>
      <c r="E57" s="62"/>
      <c r="F57" s="62"/>
    </row>
    <row r="58" spans="1:9" ht="18.75">
      <c r="A58" s="59"/>
      <c r="B58" s="9" t="s">
        <v>51</v>
      </c>
      <c r="C58" s="9"/>
      <c r="D58" s="14"/>
      <c r="E58" s="62"/>
      <c r="F58" s="62"/>
    </row>
    <row r="59" spans="1:9" ht="15.75">
      <c r="B59" s="14"/>
      <c r="C59" s="14"/>
      <c r="D59" s="14"/>
      <c r="E59" s="79"/>
      <c r="F59" s="79"/>
    </row>
    <row r="60" spans="1:9" ht="15.75">
      <c r="B60" s="14"/>
      <c r="C60" s="14"/>
      <c r="D60" s="198"/>
      <c r="E60" s="79"/>
      <c r="F60" s="79"/>
    </row>
    <row r="61" spans="1:9" ht="18.75">
      <c r="A61" s="80" t="s">
        <v>52</v>
      </c>
    </row>
    <row r="62" spans="1:9" ht="22.5">
      <c r="A62" s="81" t="s">
        <v>53</v>
      </c>
      <c r="B62" s="81"/>
      <c r="C62" s="81"/>
      <c r="D62" s="81"/>
      <c r="E62" s="81"/>
      <c r="F62" s="81"/>
      <c r="G62" s="81"/>
      <c r="H62" s="81"/>
      <c r="I62" s="81"/>
    </row>
    <row r="63" spans="1:9" ht="22.5">
      <c r="A63" s="81" t="s">
        <v>54</v>
      </c>
      <c r="B63" s="81"/>
      <c r="C63" s="81"/>
      <c r="D63" s="81"/>
      <c r="E63" s="81"/>
      <c r="F63" s="81"/>
      <c r="G63" s="81"/>
      <c r="H63" s="81"/>
      <c r="I63" s="81"/>
    </row>
    <row r="64" spans="1:9" ht="20.25">
      <c r="A64" s="82" t="s">
        <v>304</v>
      </c>
      <c r="B64" s="82"/>
      <c r="C64" s="82"/>
      <c r="D64" s="82"/>
      <c r="E64" s="82"/>
      <c r="F64" s="82"/>
      <c r="G64" s="82"/>
      <c r="H64" s="82"/>
      <c r="I64" s="82"/>
    </row>
    <row r="65" spans="1:9" ht="15.75" thickBot="1">
      <c r="A65" s="83"/>
      <c r="B65" s="83"/>
      <c r="C65" s="83"/>
      <c r="D65" s="83"/>
      <c r="E65" s="83"/>
      <c r="F65" s="83"/>
      <c r="G65" s="83"/>
      <c r="H65" s="83"/>
      <c r="I65" s="83"/>
    </row>
    <row r="66" spans="1:9" ht="15.75" thickTop="1">
      <c r="A66" s="84" t="s">
        <v>23</v>
      </c>
      <c r="B66" s="85" t="s">
        <v>56</v>
      </c>
      <c r="C66" s="86"/>
      <c r="D66" s="87" t="s">
        <v>57</v>
      </c>
      <c r="E66" s="88"/>
      <c r="F66" s="89" t="s">
        <v>58</v>
      </c>
      <c r="G66" s="87" t="s">
        <v>57</v>
      </c>
      <c r="H66" s="88"/>
      <c r="I66" s="89" t="s">
        <v>58</v>
      </c>
    </row>
    <row r="67" spans="1:9">
      <c r="A67" s="90"/>
      <c r="B67" s="91"/>
      <c r="C67" s="92"/>
      <c r="D67" s="93" t="s">
        <v>280</v>
      </c>
      <c r="E67" s="94"/>
      <c r="F67" s="95"/>
      <c r="G67" s="93" t="s">
        <v>305</v>
      </c>
      <c r="H67" s="94"/>
      <c r="I67" s="95"/>
    </row>
    <row r="68" spans="1:9">
      <c r="A68" s="96"/>
      <c r="B68" s="97"/>
      <c r="C68" s="98"/>
      <c r="D68" s="99" t="s">
        <v>28</v>
      </c>
      <c r="E68" s="99" t="s">
        <v>61</v>
      </c>
      <c r="F68" s="100"/>
      <c r="G68" s="99" t="s">
        <v>28</v>
      </c>
      <c r="H68" s="99" t="s">
        <v>61</v>
      </c>
      <c r="I68" s="100"/>
    </row>
    <row r="69" spans="1:9">
      <c r="A69" s="101" t="s">
        <v>62</v>
      </c>
      <c r="B69" s="102"/>
      <c r="C69" s="102"/>
      <c r="D69" s="102"/>
      <c r="E69" s="102"/>
      <c r="F69" s="102"/>
      <c r="G69" s="102"/>
      <c r="H69" s="102"/>
      <c r="I69" s="103"/>
    </row>
    <row r="70" spans="1:9">
      <c r="A70" s="104">
        <v>1</v>
      </c>
      <c r="B70" s="104">
        <v>1</v>
      </c>
      <c r="C70" s="105" t="s">
        <v>63</v>
      </c>
      <c r="D70" s="106">
        <v>2035800</v>
      </c>
      <c r="E70" s="107">
        <f>0</f>
        <v>0</v>
      </c>
      <c r="F70" s="106">
        <f>SUM(D70:E70)</f>
        <v>2035800</v>
      </c>
      <c r="G70" s="106">
        <v>2035800</v>
      </c>
      <c r="H70" s="107">
        <f>0</f>
        <v>0</v>
      </c>
      <c r="I70" s="106">
        <f>SUM(G70:H70)</f>
        <v>2035800</v>
      </c>
    </row>
    <row r="71" spans="1:9">
      <c r="A71" s="108" t="s">
        <v>58</v>
      </c>
      <c r="B71" s="109"/>
      <c r="C71" s="109"/>
      <c r="D71" s="110">
        <f>D70</f>
        <v>2035800</v>
      </c>
      <c r="E71" s="111">
        <f>E70</f>
        <v>0</v>
      </c>
      <c r="F71" s="112">
        <f>SUM(D71:E71)</f>
        <v>2035800</v>
      </c>
      <c r="G71" s="110">
        <f>G70</f>
        <v>2035800</v>
      </c>
      <c r="H71" s="111">
        <f>H70</f>
        <v>0</v>
      </c>
      <c r="I71" s="112">
        <f>SUM(G71:H71)</f>
        <v>2035800</v>
      </c>
    </row>
    <row r="72" spans="1:9">
      <c r="A72" s="108" t="s">
        <v>64</v>
      </c>
      <c r="B72" s="109"/>
      <c r="C72" s="109"/>
      <c r="D72" s="109"/>
      <c r="E72" s="109"/>
      <c r="F72" s="109"/>
      <c r="G72" s="109"/>
      <c r="H72" s="109"/>
      <c r="I72" s="113"/>
    </row>
    <row r="73" spans="1:9">
      <c r="A73" s="114">
        <v>2</v>
      </c>
      <c r="B73" s="115">
        <v>1</v>
      </c>
      <c r="C73" s="116" t="s">
        <v>65</v>
      </c>
      <c r="D73" s="106">
        <f>0</f>
        <v>0</v>
      </c>
      <c r="E73" s="106">
        <f>0</f>
        <v>0</v>
      </c>
      <c r="F73" s="117">
        <f>SUM(D73:E73)</f>
        <v>0</v>
      </c>
      <c r="G73" s="106">
        <v>1154900</v>
      </c>
      <c r="H73" s="106">
        <v>319000</v>
      </c>
      <c r="I73" s="117">
        <f>SUM(G73:H73)</f>
        <v>1473900</v>
      </c>
    </row>
    <row r="74" spans="1:9">
      <c r="A74" s="114">
        <v>3</v>
      </c>
      <c r="B74" s="115">
        <v>2</v>
      </c>
      <c r="C74" s="116" t="s">
        <v>66</v>
      </c>
      <c r="D74" s="106">
        <v>864469</v>
      </c>
      <c r="E74" s="106">
        <v>306550</v>
      </c>
      <c r="F74" s="117">
        <f t="shared" ref="F74:F82" si="0">SUM(D74:E74)</f>
        <v>1171019</v>
      </c>
      <c r="G74" s="106">
        <v>864469</v>
      </c>
      <c r="H74" s="106">
        <v>306550</v>
      </c>
      <c r="I74" s="117">
        <f t="shared" ref="I74:I82" si="1">SUM(G74:H74)</f>
        <v>1171019</v>
      </c>
    </row>
    <row r="75" spans="1:9">
      <c r="A75" s="114">
        <v>4</v>
      </c>
      <c r="B75" s="115">
        <v>3</v>
      </c>
      <c r="C75" s="116" t="s">
        <v>67</v>
      </c>
      <c r="D75" s="106">
        <v>2150400</v>
      </c>
      <c r="E75" s="118">
        <v>270000</v>
      </c>
      <c r="F75" s="117">
        <f t="shared" si="0"/>
        <v>2420400</v>
      </c>
      <c r="G75" s="106">
        <v>2376600</v>
      </c>
      <c r="H75" s="118">
        <v>270000</v>
      </c>
      <c r="I75" s="117">
        <f t="shared" si="1"/>
        <v>2646600</v>
      </c>
    </row>
    <row r="76" spans="1:9">
      <c r="A76" s="114">
        <v>5</v>
      </c>
      <c r="B76" s="115">
        <v>4</v>
      </c>
      <c r="C76" s="116" t="s">
        <v>68</v>
      </c>
      <c r="D76" s="106">
        <v>1467063</v>
      </c>
      <c r="E76" s="106">
        <v>44000</v>
      </c>
      <c r="F76" s="117">
        <f t="shared" si="0"/>
        <v>1511063</v>
      </c>
      <c r="G76" s="106">
        <v>1467063</v>
      </c>
      <c r="H76" s="106">
        <v>45000</v>
      </c>
      <c r="I76" s="117">
        <f t="shared" si="1"/>
        <v>1512063</v>
      </c>
    </row>
    <row r="77" spans="1:9">
      <c r="A77" s="114">
        <v>6</v>
      </c>
      <c r="B77" s="115">
        <v>5</v>
      </c>
      <c r="C77" s="116" t="s">
        <v>69</v>
      </c>
      <c r="D77" s="106">
        <v>2118200</v>
      </c>
      <c r="E77" s="106">
        <v>147300</v>
      </c>
      <c r="F77" s="117">
        <f t="shared" si="0"/>
        <v>2265500</v>
      </c>
      <c r="G77" s="106">
        <v>2009500</v>
      </c>
      <c r="H77" s="106">
        <v>147300</v>
      </c>
      <c r="I77" s="117">
        <f t="shared" si="1"/>
        <v>2156800</v>
      </c>
    </row>
    <row r="78" spans="1:9">
      <c r="A78" s="114">
        <v>7</v>
      </c>
      <c r="B78" s="115">
        <v>6</v>
      </c>
      <c r="C78" s="116" t="s">
        <v>70</v>
      </c>
      <c r="D78" s="106">
        <v>4163000</v>
      </c>
      <c r="E78" s="106">
        <f>0</f>
        <v>0</v>
      </c>
      <c r="F78" s="117">
        <f t="shared" si="0"/>
        <v>4163000</v>
      </c>
      <c r="G78" s="106">
        <v>4173700</v>
      </c>
      <c r="H78" s="106">
        <f>0</f>
        <v>0</v>
      </c>
      <c r="I78" s="117">
        <f t="shared" si="1"/>
        <v>4173700</v>
      </c>
    </row>
    <row r="79" spans="1:9">
      <c r="A79" s="114">
        <v>8</v>
      </c>
      <c r="B79" s="115">
        <v>7</v>
      </c>
      <c r="C79" s="116" t="s">
        <v>71</v>
      </c>
      <c r="D79" s="106">
        <v>1406300</v>
      </c>
      <c r="E79" s="106">
        <v>2022500</v>
      </c>
      <c r="F79" s="117">
        <f t="shared" si="0"/>
        <v>3428800</v>
      </c>
      <c r="G79" s="106">
        <v>1349300</v>
      </c>
      <c r="H79" s="106">
        <v>2022500</v>
      </c>
      <c r="I79" s="117">
        <f t="shared" si="1"/>
        <v>3371800</v>
      </c>
    </row>
    <row r="80" spans="1:9">
      <c r="A80" s="114">
        <v>9</v>
      </c>
      <c r="B80" s="115">
        <v>8</v>
      </c>
      <c r="C80" s="116" t="s">
        <v>72</v>
      </c>
      <c r="D80" s="106">
        <f>534000+534000</f>
        <v>1068000</v>
      </c>
      <c r="E80" s="106">
        <f>875000+875000</f>
        <v>1750000</v>
      </c>
      <c r="F80" s="117">
        <f t="shared" si="0"/>
        <v>2818000</v>
      </c>
      <c r="G80" s="106">
        <v>534000</v>
      </c>
      <c r="H80" s="106">
        <v>875000</v>
      </c>
      <c r="I80" s="117">
        <f t="shared" si="1"/>
        <v>1409000</v>
      </c>
    </row>
    <row r="81" spans="1:9">
      <c r="A81" s="114">
        <v>10</v>
      </c>
      <c r="B81" s="115">
        <v>9</v>
      </c>
      <c r="C81" s="116" t="s">
        <v>73</v>
      </c>
      <c r="D81" s="106">
        <v>1563000</v>
      </c>
      <c r="E81" s="106">
        <v>52000</v>
      </c>
      <c r="F81" s="117">
        <f t="shared" si="0"/>
        <v>1615000</v>
      </c>
      <c r="G81" s="106">
        <v>1563000</v>
      </c>
      <c r="H81" s="106">
        <v>52000</v>
      </c>
      <c r="I81" s="117">
        <f t="shared" si="1"/>
        <v>1615000</v>
      </c>
    </row>
    <row r="82" spans="1:9">
      <c r="A82" s="114">
        <v>11</v>
      </c>
      <c r="B82" s="115">
        <v>10</v>
      </c>
      <c r="C82" s="119" t="s">
        <v>74</v>
      </c>
      <c r="D82" s="106">
        <v>308520</v>
      </c>
      <c r="E82" s="106">
        <v>53000</v>
      </c>
      <c r="F82" s="117">
        <f t="shared" si="0"/>
        <v>361520</v>
      </c>
      <c r="G82" s="106">
        <f>0</f>
        <v>0</v>
      </c>
      <c r="H82" s="106">
        <f>0</f>
        <v>0</v>
      </c>
      <c r="I82" s="117">
        <f t="shared" si="1"/>
        <v>0</v>
      </c>
    </row>
    <row r="83" spans="1:9">
      <c r="A83" s="108" t="s">
        <v>58</v>
      </c>
      <c r="B83" s="109"/>
      <c r="C83" s="109"/>
      <c r="D83" s="110">
        <f>SUM(D73:D82)</f>
        <v>15108952</v>
      </c>
      <c r="E83" s="110">
        <f>SUM(E73:E82)</f>
        <v>4645350</v>
      </c>
      <c r="F83" s="110">
        <f>SUM(D83:E83)</f>
        <v>19754302</v>
      </c>
      <c r="G83" s="110">
        <f>SUM(G73:G82)</f>
        <v>15492532</v>
      </c>
      <c r="H83" s="110">
        <f>SUM(H73:H82)</f>
        <v>4037350</v>
      </c>
      <c r="I83" s="110">
        <f>SUM(G83:H83)</f>
        <v>19529882</v>
      </c>
    </row>
    <row r="84" spans="1:9">
      <c r="A84" s="108" t="s">
        <v>75</v>
      </c>
      <c r="B84" s="109"/>
      <c r="C84" s="109"/>
      <c r="D84" s="109"/>
      <c r="E84" s="109"/>
      <c r="F84" s="109"/>
      <c r="G84" s="109"/>
      <c r="H84" s="109"/>
      <c r="I84" s="113"/>
    </row>
    <row r="85" spans="1:9">
      <c r="A85" s="120">
        <v>12</v>
      </c>
      <c r="B85" s="119">
        <v>1</v>
      </c>
      <c r="C85" s="116" t="s">
        <v>76</v>
      </c>
      <c r="D85" s="106">
        <v>2709403</v>
      </c>
      <c r="E85" s="106">
        <v>1997215</v>
      </c>
      <c r="F85" s="117">
        <f>SUM(D85:E85)</f>
        <v>4706618</v>
      </c>
      <c r="G85" s="106">
        <v>2714285</v>
      </c>
      <c r="H85" s="106">
        <v>1992215</v>
      </c>
      <c r="I85" s="117">
        <f>SUM(G85:H85)</f>
        <v>4706500</v>
      </c>
    </row>
    <row r="86" spans="1:9">
      <c r="A86" s="120">
        <v>13</v>
      </c>
      <c r="B86" s="119">
        <v>2</v>
      </c>
      <c r="C86" s="116" t="s">
        <v>77</v>
      </c>
      <c r="D86" s="106">
        <v>3742156</v>
      </c>
      <c r="E86" s="106">
        <v>5170000</v>
      </c>
      <c r="F86" s="117">
        <f t="shared" ref="F86:F98" si="2">SUM(D86:E86)</f>
        <v>8912156</v>
      </c>
      <c r="G86" s="106">
        <v>3756686</v>
      </c>
      <c r="H86" s="106">
        <v>5170000</v>
      </c>
      <c r="I86" s="117">
        <f t="shared" ref="I86:I98" si="3">SUM(G86:H86)</f>
        <v>8926686</v>
      </c>
    </row>
    <row r="87" spans="1:9">
      <c r="A87" s="120">
        <v>14</v>
      </c>
      <c r="B87" s="119">
        <v>3</v>
      </c>
      <c r="C87" s="116" t="s">
        <v>78</v>
      </c>
      <c r="D87" s="106">
        <v>2967300</v>
      </c>
      <c r="E87" s="106">
        <v>793000</v>
      </c>
      <c r="F87" s="117">
        <f t="shared" si="2"/>
        <v>3760300</v>
      </c>
      <c r="G87" s="106">
        <v>2967300</v>
      </c>
      <c r="H87" s="106">
        <v>793000</v>
      </c>
      <c r="I87" s="117">
        <f t="shared" si="3"/>
        <v>3760300</v>
      </c>
    </row>
    <row r="88" spans="1:9">
      <c r="A88" s="120">
        <v>15</v>
      </c>
      <c r="B88" s="119">
        <v>4</v>
      </c>
      <c r="C88" s="116" t="s">
        <v>79</v>
      </c>
      <c r="D88" s="106">
        <v>966440</v>
      </c>
      <c r="E88" s="106">
        <v>1475392</v>
      </c>
      <c r="F88" s="117">
        <f t="shared" si="2"/>
        <v>2441832</v>
      </c>
      <c r="G88" s="106">
        <v>966440</v>
      </c>
      <c r="H88" s="106">
        <v>1475392</v>
      </c>
      <c r="I88" s="117">
        <f t="shared" si="3"/>
        <v>2441832</v>
      </c>
    </row>
    <row r="89" spans="1:9">
      <c r="A89" s="120">
        <v>16</v>
      </c>
      <c r="B89" s="119">
        <v>5</v>
      </c>
      <c r="C89" s="116" t="s">
        <v>80</v>
      </c>
      <c r="D89" s="106">
        <v>2858200</v>
      </c>
      <c r="E89" s="106">
        <f>73000+110000</f>
        <v>183000</v>
      </c>
      <c r="F89" s="117">
        <f t="shared" si="2"/>
        <v>3041200</v>
      </c>
      <c r="G89" s="106">
        <v>2876700</v>
      </c>
      <c r="H89" s="106">
        <v>110000</v>
      </c>
      <c r="I89" s="117">
        <f t="shared" si="3"/>
        <v>2986700</v>
      </c>
    </row>
    <row r="90" spans="1:9">
      <c r="A90" s="120">
        <v>17</v>
      </c>
      <c r="B90" s="119">
        <v>6</v>
      </c>
      <c r="C90" s="116" t="s">
        <v>81</v>
      </c>
      <c r="D90" s="106">
        <v>2085500</v>
      </c>
      <c r="E90" s="106">
        <v>153000</v>
      </c>
      <c r="F90" s="117">
        <f t="shared" si="2"/>
        <v>2238500</v>
      </c>
      <c r="G90" s="106">
        <v>2089500</v>
      </c>
      <c r="H90" s="106">
        <v>153000</v>
      </c>
      <c r="I90" s="117">
        <f t="shared" si="3"/>
        <v>2242500</v>
      </c>
    </row>
    <row r="91" spans="1:9">
      <c r="A91" s="120">
        <v>18</v>
      </c>
      <c r="B91" s="119">
        <v>7</v>
      </c>
      <c r="C91" s="116" t="s">
        <v>82</v>
      </c>
      <c r="D91" s="106">
        <v>4329900</v>
      </c>
      <c r="E91" s="106">
        <v>200000</v>
      </c>
      <c r="F91" s="117">
        <f t="shared" si="2"/>
        <v>4529900</v>
      </c>
      <c r="G91" s="106">
        <v>4344700</v>
      </c>
      <c r="H91" s="106">
        <v>199800</v>
      </c>
      <c r="I91" s="117">
        <f t="shared" si="3"/>
        <v>4544500</v>
      </c>
    </row>
    <row r="92" spans="1:9">
      <c r="A92" s="120">
        <v>19</v>
      </c>
      <c r="B92" s="119">
        <v>8</v>
      </c>
      <c r="C92" s="116" t="s">
        <v>83</v>
      </c>
      <c r="D92" s="106">
        <v>1061000</v>
      </c>
      <c r="E92" s="106">
        <v>981000</v>
      </c>
      <c r="F92" s="117">
        <f t="shared" si="2"/>
        <v>2042000</v>
      </c>
      <c r="G92" s="106">
        <v>933775</v>
      </c>
      <c r="H92" s="106">
        <v>941000</v>
      </c>
      <c r="I92" s="117">
        <f t="shared" si="3"/>
        <v>1874775</v>
      </c>
    </row>
    <row r="93" spans="1:9">
      <c r="A93" s="120">
        <v>20</v>
      </c>
      <c r="B93" s="119">
        <v>9</v>
      </c>
      <c r="C93" s="116" t="s">
        <v>84</v>
      </c>
      <c r="D93" s="106">
        <f>0</f>
        <v>0</v>
      </c>
      <c r="E93" s="106">
        <f>0</f>
        <v>0</v>
      </c>
      <c r="F93" s="117">
        <f t="shared" si="2"/>
        <v>0</v>
      </c>
      <c r="G93" s="106">
        <v>748000</v>
      </c>
      <c r="H93" s="106">
        <v>162000</v>
      </c>
      <c r="I93" s="117">
        <f t="shared" si="3"/>
        <v>910000</v>
      </c>
    </row>
    <row r="94" spans="1:9">
      <c r="A94" s="120">
        <v>21</v>
      </c>
      <c r="B94" s="119">
        <v>10</v>
      </c>
      <c r="C94" s="116" t="s">
        <v>85</v>
      </c>
      <c r="D94" s="106">
        <v>3241671</v>
      </c>
      <c r="E94" s="106">
        <v>59000</v>
      </c>
      <c r="F94" s="117">
        <f t="shared" si="2"/>
        <v>3300671</v>
      </c>
      <c r="G94" s="106">
        <v>3252342</v>
      </c>
      <c r="H94" s="106">
        <v>59000</v>
      </c>
      <c r="I94" s="117">
        <f t="shared" si="3"/>
        <v>3311342</v>
      </c>
    </row>
    <row r="95" spans="1:9">
      <c r="A95" s="120">
        <v>22</v>
      </c>
      <c r="B95" s="119">
        <v>11</v>
      </c>
      <c r="C95" s="116" t="s">
        <v>86</v>
      </c>
      <c r="D95" s="106">
        <v>2759000</v>
      </c>
      <c r="E95" s="106">
        <v>1370000</v>
      </c>
      <c r="F95" s="117">
        <f t="shared" si="2"/>
        <v>4129000</v>
      </c>
      <c r="G95" s="106">
        <v>2764494</v>
      </c>
      <c r="H95" s="106">
        <v>1370000</v>
      </c>
      <c r="I95" s="117">
        <f t="shared" si="3"/>
        <v>4134494</v>
      </c>
    </row>
    <row r="96" spans="1:9">
      <c r="A96" s="120">
        <v>23</v>
      </c>
      <c r="B96" s="119">
        <v>12</v>
      </c>
      <c r="C96" s="116" t="s">
        <v>87</v>
      </c>
      <c r="D96" s="106">
        <v>1572700</v>
      </c>
      <c r="E96" s="106">
        <v>494159</v>
      </c>
      <c r="F96" s="117">
        <f t="shared" si="2"/>
        <v>2066859</v>
      </c>
      <c r="G96" s="106">
        <v>1572700</v>
      </c>
      <c r="H96" s="106">
        <v>494159</v>
      </c>
      <c r="I96" s="117">
        <f t="shared" si="3"/>
        <v>2066859</v>
      </c>
    </row>
    <row r="97" spans="1:9">
      <c r="A97" s="120">
        <v>24</v>
      </c>
      <c r="B97" s="119">
        <v>13</v>
      </c>
      <c r="C97" s="116" t="s">
        <v>88</v>
      </c>
      <c r="D97" s="106">
        <v>1532500</v>
      </c>
      <c r="E97" s="106">
        <v>685000</v>
      </c>
      <c r="F97" s="117">
        <f t="shared" si="2"/>
        <v>2217500</v>
      </c>
      <c r="G97" s="106">
        <v>1548000</v>
      </c>
      <c r="H97" s="106">
        <v>685000</v>
      </c>
      <c r="I97" s="117">
        <f t="shared" si="3"/>
        <v>2233000</v>
      </c>
    </row>
    <row r="98" spans="1:9">
      <c r="A98" s="120">
        <v>25</v>
      </c>
      <c r="B98" s="119">
        <v>14</v>
      </c>
      <c r="C98" s="116" t="s">
        <v>89</v>
      </c>
      <c r="D98" s="106">
        <f>0</f>
        <v>0</v>
      </c>
      <c r="E98" s="106">
        <f>0</f>
        <v>0</v>
      </c>
      <c r="F98" s="117">
        <f t="shared" si="2"/>
        <v>0</v>
      </c>
      <c r="G98" s="106">
        <v>356800</v>
      </c>
      <c r="H98" s="106">
        <v>568000</v>
      </c>
      <c r="I98" s="117">
        <f t="shared" si="3"/>
        <v>924800</v>
      </c>
    </row>
    <row r="99" spans="1:9">
      <c r="A99" s="108" t="s">
        <v>58</v>
      </c>
      <c r="B99" s="109"/>
      <c r="C99" s="109"/>
      <c r="D99" s="110">
        <f>SUM(D85:D98)</f>
        <v>29825770</v>
      </c>
      <c r="E99" s="110">
        <f>SUM(E85:E98)</f>
        <v>13560766</v>
      </c>
      <c r="F99" s="110">
        <f>SUM(D99:E99)</f>
        <v>43386536</v>
      </c>
      <c r="G99" s="110">
        <f>SUM(G85:G98)</f>
        <v>30891722</v>
      </c>
      <c r="H99" s="110">
        <f>SUM(H85:H98)</f>
        <v>14172566</v>
      </c>
      <c r="I99" s="110">
        <f>SUM(G99:H99)</f>
        <v>45064288</v>
      </c>
    </row>
    <row r="100" spans="1:9">
      <c r="A100" s="108" t="s">
        <v>90</v>
      </c>
      <c r="B100" s="109"/>
      <c r="C100" s="109"/>
      <c r="D100" s="109"/>
      <c r="E100" s="109"/>
      <c r="F100" s="109"/>
      <c r="G100" s="109"/>
      <c r="H100" s="109"/>
      <c r="I100" s="113"/>
    </row>
    <row r="101" spans="1:9">
      <c r="A101" s="119">
        <v>26</v>
      </c>
      <c r="B101" s="119">
        <v>1</v>
      </c>
      <c r="C101" s="116" t="s">
        <v>91</v>
      </c>
      <c r="D101" s="106">
        <v>350000</v>
      </c>
      <c r="E101" s="106">
        <v>305000</v>
      </c>
      <c r="F101" s="117">
        <f>SUM(D101:E101)</f>
        <v>655000</v>
      </c>
      <c r="G101" s="106">
        <v>350000</v>
      </c>
      <c r="H101" s="106">
        <v>305000</v>
      </c>
      <c r="I101" s="117">
        <f>SUM(G101:H101)</f>
        <v>655000</v>
      </c>
    </row>
    <row r="102" spans="1:9">
      <c r="A102" s="119">
        <v>27</v>
      </c>
      <c r="B102" s="119">
        <v>2</v>
      </c>
      <c r="C102" s="121" t="s">
        <v>92</v>
      </c>
      <c r="D102" s="106">
        <f>0</f>
        <v>0</v>
      </c>
      <c r="E102" s="106">
        <f>0</f>
        <v>0</v>
      </c>
      <c r="F102" s="117">
        <f t="shared" ref="F102:F109" si="4">SUM(D102:E102)</f>
        <v>0</v>
      </c>
      <c r="G102" s="106">
        <f>0</f>
        <v>0</v>
      </c>
      <c r="H102" s="106">
        <f>0</f>
        <v>0</v>
      </c>
      <c r="I102" s="117">
        <f t="shared" ref="I102:I109" si="5">SUM(G102:H102)</f>
        <v>0</v>
      </c>
    </row>
    <row r="103" spans="1:9">
      <c r="A103" s="119">
        <v>28</v>
      </c>
      <c r="B103" s="119">
        <v>3</v>
      </c>
      <c r="C103" s="121" t="s">
        <v>93</v>
      </c>
      <c r="D103" s="106">
        <f>384000+509000</f>
        <v>893000</v>
      </c>
      <c r="E103" s="106">
        <f>60000+60000</f>
        <v>120000</v>
      </c>
      <c r="F103" s="117">
        <f t="shared" si="4"/>
        <v>1013000</v>
      </c>
      <c r="G103" s="106">
        <f>0</f>
        <v>0</v>
      </c>
      <c r="H103" s="106">
        <f>0</f>
        <v>0</v>
      </c>
      <c r="I103" s="117">
        <f t="shared" si="5"/>
        <v>0</v>
      </c>
    </row>
    <row r="104" spans="1:9">
      <c r="A104" s="119">
        <v>29</v>
      </c>
      <c r="B104" s="119">
        <v>4</v>
      </c>
      <c r="C104" s="121" t="s">
        <v>94</v>
      </c>
      <c r="D104" s="106">
        <f>0</f>
        <v>0</v>
      </c>
      <c r="E104" s="106">
        <f>0</f>
        <v>0</v>
      </c>
      <c r="F104" s="117">
        <f t="shared" si="4"/>
        <v>0</v>
      </c>
      <c r="G104" s="106">
        <f>250000+250000+256000</f>
        <v>756000</v>
      </c>
      <c r="H104" s="106">
        <f>185000+185000+185000</f>
        <v>555000</v>
      </c>
      <c r="I104" s="117">
        <f t="shared" si="5"/>
        <v>1311000</v>
      </c>
    </row>
    <row r="105" spans="1:9">
      <c r="A105" s="119">
        <v>30</v>
      </c>
      <c r="B105" s="119">
        <v>5</v>
      </c>
      <c r="C105" s="121" t="s">
        <v>95</v>
      </c>
      <c r="D105" s="106">
        <v>148000</v>
      </c>
      <c r="E105" s="106">
        <v>260000</v>
      </c>
      <c r="F105" s="117">
        <f t="shared" si="4"/>
        <v>408000</v>
      </c>
      <c r="G105" s="106">
        <v>148000</v>
      </c>
      <c r="H105" s="106">
        <v>260000</v>
      </c>
      <c r="I105" s="117">
        <f t="shared" si="5"/>
        <v>408000</v>
      </c>
    </row>
    <row r="106" spans="1:9">
      <c r="A106" s="119">
        <v>31</v>
      </c>
      <c r="B106" s="119">
        <v>6</v>
      </c>
      <c r="C106" s="121" t="s">
        <v>96</v>
      </c>
      <c r="D106" s="106">
        <v>419500</v>
      </c>
      <c r="E106" s="106">
        <v>42000</v>
      </c>
      <c r="F106" s="117">
        <f t="shared" si="4"/>
        <v>461500</v>
      </c>
      <c r="G106" s="106">
        <v>431000</v>
      </c>
      <c r="H106" s="106">
        <v>42000</v>
      </c>
      <c r="I106" s="117">
        <f t="shared" si="5"/>
        <v>473000</v>
      </c>
    </row>
    <row r="107" spans="1:9">
      <c r="A107" s="119">
        <v>32</v>
      </c>
      <c r="B107" s="119">
        <v>7</v>
      </c>
      <c r="C107" s="121" t="s">
        <v>97</v>
      </c>
      <c r="D107" s="106">
        <v>673500</v>
      </c>
      <c r="E107" s="106">
        <v>337500</v>
      </c>
      <c r="F107" s="117">
        <f t="shared" si="4"/>
        <v>1011000</v>
      </c>
      <c r="G107" s="106">
        <v>687800</v>
      </c>
      <c r="H107" s="106">
        <v>337500</v>
      </c>
      <c r="I107" s="117">
        <f t="shared" si="5"/>
        <v>1025300</v>
      </c>
    </row>
    <row r="108" spans="1:9">
      <c r="A108" s="119">
        <v>33</v>
      </c>
      <c r="B108" s="119">
        <v>8</v>
      </c>
      <c r="C108" s="121" t="s">
        <v>98</v>
      </c>
      <c r="D108" s="106">
        <v>457400</v>
      </c>
      <c r="E108" s="106">
        <v>84000</v>
      </c>
      <c r="F108" s="117">
        <f t="shared" si="4"/>
        <v>541400</v>
      </c>
      <c r="G108" s="106">
        <v>457400</v>
      </c>
      <c r="H108" s="106">
        <v>84000</v>
      </c>
      <c r="I108" s="117">
        <f t="shared" si="5"/>
        <v>541400</v>
      </c>
    </row>
    <row r="109" spans="1:9">
      <c r="A109" s="119">
        <v>34</v>
      </c>
      <c r="B109" s="119">
        <v>9</v>
      </c>
      <c r="C109" s="122" t="s">
        <v>99</v>
      </c>
      <c r="D109" s="106">
        <v>520400</v>
      </c>
      <c r="E109" s="106">
        <v>283000</v>
      </c>
      <c r="F109" s="117">
        <f t="shared" si="4"/>
        <v>803400</v>
      </c>
      <c r="G109" s="106">
        <v>623850</v>
      </c>
      <c r="H109" s="106">
        <v>223000</v>
      </c>
      <c r="I109" s="117">
        <f t="shared" si="5"/>
        <v>846850</v>
      </c>
    </row>
    <row r="110" spans="1:9">
      <c r="A110" s="108" t="s">
        <v>101</v>
      </c>
      <c r="B110" s="109"/>
      <c r="C110" s="123"/>
      <c r="D110" s="110">
        <f>SUM(D101:D109)</f>
        <v>3461800</v>
      </c>
      <c r="E110" s="110">
        <f>SUM(E101:E109)</f>
        <v>1431500</v>
      </c>
      <c r="F110" s="110">
        <f>SUM(D110:E110)</f>
        <v>4893300</v>
      </c>
      <c r="G110" s="110">
        <f>SUM(G101:G109)</f>
        <v>3454050</v>
      </c>
      <c r="H110" s="110">
        <f>SUM(H101:H109)</f>
        <v>1806500</v>
      </c>
      <c r="I110" s="110">
        <f>SUM(G110:H110)</f>
        <v>5260550</v>
      </c>
    </row>
    <row r="111" spans="1:9">
      <c r="A111" s="108" t="s">
        <v>102</v>
      </c>
      <c r="B111" s="109"/>
      <c r="C111" s="109"/>
      <c r="D111" s="109"/>
      <c r="E111" s="109"/>
      <c r="F111" s="109"/>
      <c r="G111" s="109"/>
      <c r="H111" s="109"/>
      <c r="I111" s="113"/>
    </row>
    <row r="112" spans="1:9">
      <c r="A112" s="119">
        <v>35</v>
      </c>
      <c r="B112" s="119">
        <v>1</v>
      </c>
      <c r="C112" s="116" t="s">
        <v>103</v>
      </c>
      <c r="D112" s="106">
        <v>165000</v>
      </c>
      <c r="E112" s="106">
        <v>40000</v>
      </c>
      <c r="F112" s="117">
        <f>SUM(D112:E112)</f>
        <v>205000</v>
      </c>
      <c r="G112" s="106">
        <v>100000</v>
      </c>
      <c r="H112" s="106">
        <v>60000</v>
      </c>
      <c r="I112" s="117">
        <f>SUM(G112:H112)</f>
        <v>160000</v>
      </c>
    </row>
    <row r="113" spans="1:9">
      <c r="A113" s="119">
        <v>36</v>
      </c>
      <c r="B113" s="119">
        <v>2</v>
      </c>
      <c r="C113" s="116" t="s">
        <v>104</v>
      </c>
      <c r="D113" s="106">
        <f>0</f>
        <v>0</v>
      </c>
      <c r="E113" s="106">
        <f>0</f>
        <v>0</v>
      </c>
      <c r="F113" s="117">
        <f>SUM(D113:E113)</f>
        <v>0</v>
      </c>
      <c r="G113" s="106">
        <f>0</f>
        <v>0</v>
      </c>
      <c r="H113" s="106">
        <f>0</f>
        <v>0</v>
      </c>
      <c r="I113" s="117">
        <f>SUM(G113:H113)</f>
        <v>0</v>
      </c>
    </row>
    <row r="114" spans="1:9">
      <c r="A114" s="119">
        <v>37</v>
      </c>
      <c r="B114" s="119">
        <v>3</v>
      </c>
      <c r="C114" s="116" t="s">
        <v>105</v>
      </c>
      <c r="D114" s="106">
        <v>1253000</v>
      </c>
      <c r="E114" s="106">
        <f>0</f>
        <v>0</v>
      </c>
      <c r="F114" s="117">
        <f>SUM(D114:E114)</f>
        <v>1253000</v>
      </c>
      <c r="G114" s="106">
        <v>1253000</v>
      </c>
      <c r="H114" s="106">
        <f>0</f>
        <v>0</v>
      </c>
      <c r="I114" s="117">
        <f>SUM(G114:H114)</f>
        <v>1253000</v>
      </c>
    </row>
    <row r="115" spans="1:9">
      <c r="A115" s="119">
        <v>38</v>
      </c>
      <c r="B115" s="119">
        <v>5</v>
      </c>
      <c r="C115" s="116" t="s">
        <v>106</v>
      </c>
      <c r="D115" s="106">
        <v>288400</v>
      </c>
      <c r="E115" s="106">
        <v>120000</v>
      </c>
      <c r="F115" s="117">
        <f>SUM(D115:E115)</f>
        <v>408400</v>
      </c>
      <c r="G115" s="106">
        <v>288400</v>
      </c>
      <c r="H115" s="106">
        <v>120000</v>
      </c>
      <c r="I115" s="117">
        <f>SUM(G115:H115)</f>
        <v>408400</v>
      </c>
    </row>
    <row r="116" spans="1:9">
      <c r="A116" s="108" t="s">
        <v>58</v>
      </c>
      <c r="B116" s="109"/>
      <c r="C116" s="109"/>
      <c r="D116" s="110">
        <f>SUM(D112:D115)</f>
        <v>1706400</v>
      </c>
      <c r="E116" s="110">
        <f>SUM(E112:E115)</f>
        <v>160000</v>
      </c>
      <c r="F116" s="110">
        <f>SUM(D116:E116)</f>
        <v>1866400</v>
      </c>
      <c r="G116" s="110">
        <f>SUM(G112:G115)</f>
        <v>1641400</v>
      </c>
      <c r="H116" s="110">
        <f>SUM(H112:H115)</f>
        <v>180000</v>
      </c>
      <c r="I116" s="110">
        <f>SUM(G116:H116)</f>
        <v>1821400</v>
      </c>
    </row>
    <row r="117" spans="1:9">
      <c r="A117" s="108" t="s">
        <v>107</v>
      </c>
      <c r="B117" s="109"/>
      <c r="C117" s="109"/>
      <c r="D117" s="109"/>
      <c r="E117" s="109"/>
      <c r="F117" s="109"/>
      <c r="G117" s="109"/>
      <c r="H117" s="109"/>
      <c r="I117" s="113"/>
    </row>
    <row r="118" spans="1:9">
      <c r="A118" s="119">
        <v>39</v>
      </c>
      <c r="B118" s="119">
        <v>1</v>
      </c>
      <c r="C118" s="119" t="s">
        <v>108</v>
      </c>
      <c r="D118" s="106">
        <v>500000</v>
      </c>
      <c r="E118" s="106">
        <v>100000</v>
      </c>
      <c r="F118" s="117">
        <f>SUM(D118:E118)</f>
        <v>600000</v>
      </c>
      <c r="G118" s="106">
        <v>500000</v>
      </c>
      <c r="H118" s="106">
        <v>100000</v>
      </c>
      <c r="I118" s="117">
        <f>SUM(G118:H118)</f>
        <v>600000</v>
      </c>
    </row>
    <row r="119" spans="1:9">
      <c r="A119" s="108" t="s">
        <v>101</v>
      </c>
      <c r="B119" s="109"/>
      <c r="C119" s="109"/>
      <c r="D119" s="110">
        <f>D118</f>
        <v>500000</v>
      </c>
      <c r="E119" s="110">
        <f>E118</f>
        <v>100000</v>
      </c>
      <c r="F119" s="110">
        <f>SUM(D119:E119)</f>
        <v>600000</v>
      </c>
      <c r="G119" s="110">
        <f>G118</f>
        <v>500000</v>
      </c>
      <c r="H119" s="110">
        <f>H118</f>
        <v>100000</v>
      </c>
      <c r="I119" s="110">
        <f>SUM(G119:H119)</f>
        <v>600000</v>
      </c>
    </row>
    <row r="120" spans="1:9">
      <c r="A120" s="108" t="s">
        <v>109</v>
      </c>
      <c r="B120" s="109"/>
      <c r="C120" s="109"/>
      <c r="D120" s="109"/>
      <c r="E120" s="109"/>
      <c r="F120" s="109"/>
      <c r="G120" s="109"/>
      <c r="H120" s="109"/>
      <c r="I120" s="113"/>
    </row>
    <row r="121" spans="1:9">
      <c r="A121" s="119">
        <v>40</v>
      </c>
      <c r="B121" s="119">
        <v>1</v>
      </c>
      <c r="C121" s="121" t="s">
        <v>110</v>
      </c>
      <c r="D121" s="106">
        <v>1689705</v>
      </c>
      <c r="E121" s="106">
        <v>513400</v>
      </c>
      <c r="F121" s="117">
        <f>SUM(D121:E121)</f>
        <v>2203105</v>
      </c>
      <c r="G121" s="106">
        <v>1689705</v>
      </c>
      <c r="H121" s="106">
        <v>513400</v>
      </c>
      <c r="I121" s="117">
        <f>SUM(G121:H121)</f>
        <v>2203105</v>
      </c>
    </row>
    <row r="122" spans="1:9">
      <c r="A122" s="108" t="s">
        <v>101</v>
      </c>
      <c r="B122" s="109"/>
      <c r="C122" s="109"/>
      <c r="D122" s="110">
        <f>D121</f>
        <v>1689705</v>
      </c>
      <c r="E122" s="110">
        <f>E121</f>
        <v>513400</v>
      </c>
      <c r="F122" s="110">
        <f>SUM(D122:E122)</f>
        <v>2203105</v>
      </c>
      <c r="G122" s="110">
        <f>G121</f>
        <v>1689705</v>
      </c>
      <c r="H122" s="110">
        <f>H121</f>
        <v>513400</v>
      </c>
      <c r="I122" s="110">
        <f>SUM(G122:H122)</f>
        <v>2203105</v>
      </c>
    </row>
    <row r="123" spans="1:9">
      <c r="A123" s="108" t="s">
        <v>111</v>
      </c>
      <c r="B123" s="109"/>
      <c r="C123" s="109"/>
      <c r="D123" s="109"/>
      <c r="E123" s="109"/>
      <c r="F123" s="109"/>
      <c r="G123" s="109"/>
      <c r="H123" s="109"/>
      <c r="I123" s="113"/>
    </row>
    <row r="124" spans="1:9">
      <c r="A124" s="119">
        <v>41</v>
      </c>
      <c r="B124" s="119">
        <v>1</v>
      </c>
      <c r="C124" s="121" t="s">
        <v>112</v>
      </c>
      <c r="D124" s="106">
        <v>1672500</v>
      </c>
      <c r="E124" s="106">
        <v>649500</v>
      </c>
      <c r="F124" s="117">
        <f>SUM(D124:E124)</f>
        <v>2322000</v>
      </c>
      <c r="G124" s="106">
        <f>0</f>
        <v>0</v>
      </c>
      <c r="H124" s="106">
        <v>649500</v>
      </c>
      <c r="I124" s="117">
        <f>SUM(G124:H124)</f>
        <v>649500</v>
      </c>
    </row>
    <row r="125" spans="1:9">
      <c r="A125" s="119">
        <v>42</v>
      </c>
      <c r="B125" s="119">
        <v>2</v>
      </c>
      <c r="C125" s="121" t="s">
        <v>113</v>
      </c>
      <c r="D125" s="106">
        <f>0</f>
        <v>0</v>
      </c>
      <c r="E125" s="106">
        <v>330000</v>
      </c>
      <c r="F125" s="117">
        <f t="shared" ref="F125:F136" si="6">SUM(D125:E125)</f>
        <v>330000</v>
      </c>
      <c r="G125" s="106">
        <f>0</f>
        <v>0</v>
      </c>
      <c r="H125" s="106">
        <v>330000</v>
      </c>
      <c r="I125" s="117">
        <f t="shared" ref="I125:I143" si="7">SUM(G125:H125)</f>
        <v>330000</v>
      </c>
    </row>
    <row r="126" spans="1:9">
      <c r="A126" s="119">
        <v>43</v>
      </c>
      <c r="B126" s="119">
        <v>3</v>
      </c>
      <c r="C126" s="125" t="s">
        <v>114</v>
      </c>
      <c r="D126" s="106">
        <v>1623000</v>
      </c>
      <c r="E126" s="106">
        <f>0</f>
        <v>0</v>
      </c>
      <c r="F126" s="117">
        <f t="shared" si="6"/>
        <v>1623000</v>
      </c>
      <c r="G126" s="106">
        <v>1623000</v>
      </c>
      <c r="H126" s="106">
        <f>0</f>
        <v>0</v>
      </c>
      <c r="I126" s="117">
        <f t="shared" si="7"/>
        <v>1623000</v>
      </c>
    </row>
    <row r="127" spans="1:9">
      <c r="A127" s="119">
        <v>44</v>
      </c>
      <c r="B127" s="124">
        <v>4</v>
      </c>
      <c r="C127" s="125" t="s">
        <v>115</v>
      </c>
      <c r="D127" s="106">
        <f>0</f>
        <v>0</v>
      </c>
      <c r="E127" s="106">
        <v>224000</v>
      </c>
      <c r="F127" s="117">
        <f t="shared" si="6"/>
        <v>224000</v>
      </c>
      <c r="G127" s="106">
        <v>1664500</v>
      </c>
      <c r="H127" s="106">
        <f>224000+224000</f>
        <v>448000</v>
      </c>
      <c r="I127" s="117">
        <f t="shared" si="7"/>
        <v>2112500</v>
      </c>
    </row>
    <row r="128" spans="1:9">
      <c r="A128" s="119">
        <v>45</v>
      </c>
      <c r="B128" s="119">
        <v>5</v>
      </c>
      <c r="C128" s="125" t="s">
        <v>116</v>
      </c>
      <c r="D128" s="106">
        <v>505700</v>
      </c>
      <c r="E128" s="106">
        <v>161000</v>
      </c>
      <c r="F128" s="117">
        <f t="shared" si="6"/>
        <v>666700</v>
      </c>
      <c r="G128" s="106">
        <v>505700</v>
      </c>
      <c r="H128" s="106">
        <v>161000</v>
      </c>
      <c r="I128" s="117">
        <f t="shared" si="7"/>
        <v>666700</v>
      </c>
    </row>
    <row r="129" spans="1:9">
      <c r="A129" s="119">
        <v>46</v>
      </c>
      <c r="B129" s="119">
        <v>6</v>
      </c>
      <c r="C129" s="125" t="s">
        <v>117</v>
      </c>
      <c r="D129" s="106">
        <v>801817</v>
      </c>
      <c r="E129" s="106">
        <v>135000</v>
      </c>
      <c r="F129" s="117">
        <f t="shared" si="6"/>
        <v>936817</v>
      </c>
      <c r="G129" s="106">
        <v>801817</v>
      </c>
      <c r="H129" s="106">
        <v>135000</v>
      </c>
      <c r="I129" s="117">
        <f t="shared" si="7"/>
        <v>936817</v>
      </c>
    </row>
    <row r="130" spans="1:9">
      <c r="A130" s="119">
        <v>47</v>
      </c>
      <c r="B130" s="119">
        <v>7</v>
      </c>
      <c r="C130" s="125" t="s">
        <v>118</v>
      </c>
      <c r="D130" s="106">
        <v>720000</v>
      </c>
      <c r="E130" s="106">
        <v>150000</v>
      </c>
      <c r="F130" s="117">
        <f t="shared" si="6"/>
        <v>870000</v>
      </c>
      <c r="G130" s="106">
        <v>720000</v>
      </c>
      <c r="H130" s="106">
        <v>150000</v>
      </c>
      <c r="I130" s="117">
        <f t="shared" si="7"/>
        <v>870000</v>
      </c>
    </row>
    <row r="131" spans="1:9">
      <c r="A131" s="119">
        <v>48</v>
      </c>
      <c r="B131" s="119">
        <v>8</v>
      </c>
      <c r="C131" s="121" t="s">
        <v>119</v>
      </c>
      <c r="D131" s="106">
        <v>615000</v>
      </c>
      <c r="E131" s="106">
        <v>100000</v>
      </c>
      <c r="F131" s="117">
        <f t="shared" si="6"/>
        <v>715000</v>
      </c>
      <c r="G131" s="106">
        <v>615000</v>
      </c>
      <c r="H131" s="106">
        <v>100000</v>
      </c>
      <c r="I131" s="117">
        <f t="shared" si="7"/>
        <v>715000</v>
      </c>
    </row>
    <row r="132" spans="1:9">
      <c r="A132" s="119">
        <v>49</v>
      </c>
      <c r="B132" s="119">
        <v>9</v>
      </c>
      <c r="C132" s="121" t="s">
        <v>120</v>
      </c>
      <c r="D132" s="106">
        <v>554000</v>
      </c>
      <c r="E132" s="106">
        <v>220000</v>
      </c>
      <c r="F132" s="117">
        <f t="shared" si="6"/>
        <v>774000</v>
      </c>
      <c r="G132" s="106">
        <v>554000</v>
      </c>
      <c r="H132" s="106">
        <v>220000</v>
      </c>
      <c r="I132" s="117">
        <f t="shared" si="7"/>
        <v>774000</v>
      </c>
    </row>
    <row r="133" spans="1:9">
      <c r="A133" s="119">
        <v>50</v>
      </c>
      <c r="B133" s="119">
        <v>10</v>
      </c>
      <c r="C133" s="121" t="s">
        <v>121</v>
      </c>
      <c r="D133" s="106">
        <f>0</f>
        <v>0</v>
      </c>
      <c r="E133" s="106">
        <v>608335</v>
      </c>
      <c r="F133" s="117">
        <f t="shared" si="6"/>
        <v>608335</v>
      </c>
      <c r="G133" s="106">
        <f>0</f>
        <v>0</v>
      </c>
      <c r="H133" s="106">
        <v>608335</v>
      </c>
      <c r="I133" s="117">
        <f t="shared" si="7"/>
        <v>608335</v>
      </c>
    </row>
    <row r="134" spans="1:9">
      <c r="A134" s="119">
        <v>51</v>
      </c>
      <c r="B134" s="119">
        <v>11</v>
      </c>
      <c r="C134" s="121" t="s">
        <v>122</v>
      </c>
      <c r="D134" s="106">
        <v>1430000</v>
      </c>
      <c r="E134" s="106">
        <f>0</f>
        <v>0</v>
      </c>
      <c r="F134" s="117">
        <f t="shared" si="6"/>
        <v>1430000</v>
      </c>
      <c r="G134" s="106">
        <v>1430576</v>
      </c>
      <c r="H134" s="106">
        <f>0</f>
        <v>0</v>
      </c>
      <c r="I134" s="117">
        <f t="shared" si="7"/>
        <v>1430576</v>
      </c>
    </row>
    <row r="135" spans="1:9">
      <c r="A135" s="119">
        <v>52</v>
      </c>
      <c r="B135" s="119">
        <v>12</v>
      </c>
      <c r="C135" s="121" t="s">
        <v>123</v>
      </c>
      <c r="D135" s="106">
        <v>1675000</v>
      </c>
      <c r="E135" s="106">
        <f>0</f>
        <v>0</v>
      </c>
      <c r="F135" s="117">
        <f t="shared" si="6"/>
        <v>1675000</v>
      </c>
      <c r="G135" s="106">
        <v>1732000</v>
      </c>
      <c r="H135" s="106">
        <f>0</f>
        <v>0</v>
      </c>
      <c r="I135" s="117">
        <f t="shared" si="7"/>
        <v>1732000</v>
      </c>
    </row>
    <row r="136" spans="1:9">
      <c r="A136" s="119">
        <v>53</v>
      </c>
      <c r="B136" s="119">
        <v>13</v>
      </c>
      <c r="C136" s="121" t="s">
        <v>124</v>
      </c>
      <c r="D136" s="106">
        <v>826500</v>
      </c>
      <c r="E136" s="106">
        <v>173500</v>
      </c>
      <c r="F136" s="117">
        <f t="shared" si="6"/>
        <v>1000000</v>
      </c>
      <c r="G136" s="106">
        <v>716000</v>
      </c>
      <c r="H136" s="106">
        <v>400000</v>
      </c>
      <c r="I136" s="117">
        <f t="shared" si="7"/>
        <v>1116000</v>
      </c>
    </row>
    <row r="137" spans="1:9">
      <c r="A137" s="119">
        <v>54</v>
      </c>
      <c r="B137" s="119">
        <v>14</v>
      </c>
      <c r="C137" s="121" t="s">
        <v>125</v>
      </c>
      <c r="D137" s="106">
        <v>229000</v>
      </c>
      <c r="E137" s="106">
        <v>150000</v>
      </c>
      <c r="F137" s="117">
        <f>SUM(D137:E137)</f>
        <v>379000</v>
      </c>
      <c r="G137" s="106">
        <v>229000</v>
      </c>
      <c r="H137" s="106">
        <v>150000</v>
      </c>
      <c r="I137" s="117">
        <f>SUM(G137:H137)</f>
        <v>379000</v>
      </c>
    </row>
    <row r="138" spans="1:9">
      <c r="A138" s="119">
        <v>55</v>
      </c>
      <c r="B138" s="119">
        <v>15</v>
      </c>
      <c r="C138" s="121" t="s">
        <v>126</v>
      </c>
      <c r="D138" s="106">
        <v>1478882</v>
      </c>
      <c r="E138" s="106">
        <v>220000</v>
      </c>
      <c r="F138" s="117">
        <f t="shared" ref="F138:F143" si="8">SUM(D138:E138)</f>
        <v>1698882</v>
      </c>
      <c r="G138" s="106">
        <f>0</f>
        <v>0</v>
      </c>
      <c r="H138" s="106">
        <f>0</f>
        <v>0</v>
      </c>
      <c r="I138" s="117">
        <f t="shared" si="7"/>
        <v>0</v>
      </c>
    </row>
    <row r="139" spans="1:9">
      <c r="A139" s="119">
        <v>56</v>
      </c>
      <c r="B139" s="119">
        <v>16</v>
      </c>
      <c r="C139" s="121" t="s">
        <v>127</v>
      </c>
      <c r="D139" s="106">
        <v>1116000</v>
      </c>
      <c r="E139" s="106">
        <f>0</f>
        <v>0</v>
      </c>
      <c r="F139" s="117">
        <f t="shared" si="8"/>
        <v>1116000</v>
      </c>
      <c r="G139" s="106">
        <v>1116000</v>
      </c>
      <c r="H139" s="106">
        <f>0</f>
        <v>0</v>
      </c>
      <c r="I139" s="117">
        <f t="shared" si="7"/>
        <v>1116000</v>
      </c>
    </row>
    <row r="140" spans="1:9">
      <c r="A140" s="119">
        <v>57</v>
      </c>
      <c r="B140" s="119">
        <v>17</v>
      </c>
      <c r="C140" s="121" t="s">
        <v>128</v>
      </c>
      <c r="D140" s="106">
        <v>765000</v>
      </c>
      <c r="E140" s="106">
        <f>0</f>
        <v>0</v>
      </c>
      <c r="F140" s="117">
        <f t="shared" si="8"/>
        <v>765000</v>
      </c>
      <c r="G140" s="106">
        <v>765000</v>
      </c>
      <c r="H140" s="106">
        <f>0</f>
        <v>0</v>
      </c>
      <c r="I140" s="117">
        <f t="shared" si="7"/>
        <v>765000</v>
      </c>
    </row>
    <row r="141" spans="1:9">
      <c r="A141" s="119">
        <v>58</v>
      </c>
      <c r="B141" s="119">
        <v>18</v>
      </c>
      <c r="C141" s="121" t="s">
        <v>129</v>
      </c>
      <c r="D141" s="106">
        <v>1247000</v>
      </c>
      <c r="E141" s="106">
        <v>120000</v>
      </c>
      <c r="F141" s="117">
        <f t="shared" si="8"/>
        <v>1367000</v>
      </c>
      <c r="G141" s="106">
        <v>1247000</v>
      </c>
      <c r="H141" s="106">
        <v>120000</v>
      </c>
      <c r="I141" s="117">
        <f t="shared" si="7"/>
        <v>1367000</v>
      </c>
    </row>
    <row r="142" spans="1:9">
      <c r="A142" s="119">
        <v>59</v>
      </c>
      <c r="B142" s="119">
        <v>19</v>
      </c>
      <c r="C142" s="121" t="s">
        <v>130</v>
      </c>
      <c r="D142" s="106">
        <v>162750</v>
      </c>
      <c r="E142" s="106">
        <v>270000</v>
      </c>
      <c r="F142" s="117">
        <f t="shared" si="8"/>
        <v>432750</v>
      </c>
      <c r="G142" s="106">
        <v>162750</v>
      </c>
      <c r="H142" s="106">
        <v>270000</v>
      </c>
      <c r="I142" s="117">
        <f t="shared" si="7"/>
        <v>432750</v>
      </c>
    </row>
    <row r="143" spans="1:9">
      <c r="A143" s="119">
        <v>60</v>
      </c>
      <c r="B143" s="119">
        <v>20</v>
      </c>
      <c r="C143" s="121" t="s">
        <v>131</v>
      </c>
      <c r="D143" s="106">
        <v>616413</v>
      </c>
      <c r="E143" s="106">
        <v>312100</v>
      </c>
      <c r="F143" s="117">
        <f t="shared" si="8"/>
        <v>928513</v>
      </c>
      <c r="G143" s="106">
        <v>616413</v>
      </c>
      <c r="H143" s="106">
        <v>312100</v>
      </c>
      <c r="I143" s="117">
        <f t="shared" si="7"/>
        <v>928513</v>
      </c>
    </row>
    <row r="144" spans="1:9">
      <c r="A144" s="108" t="s">
        <v>58</v>
      </c>
      <c r="B144" s="109"/>
      <c r="C144" s="109"/>
      <c r="D144" s="110">
        <f>SUM(D124:D143)</f>
        <v>16038562</v>
      </c>
      <c r="E144" s="110">
        <f>SUM(E124:E143)</f>
        <v>3823435</v>
      </c>
      <c r="F144" s="110">
        <f>SUM(D144:E144)</f>
        <v>19861997</v>
      </c>
      <c r="G144" s="110">
        <f>SUM(G124:G143)</f>
        <v>14498756</v>
      </c>
      <c r="H144" s="110">
        <f>SUM(H124:H143)</f>
        <v>4053935</v>
      </c>
      <c r="I144" s="110">
        <f>SUM(G144:H144)</f>
        <v>18552691</v>
      </c>
    </row>
    <row r="145" spans="1:9">
      <c r="A145" s="126" t="s">
        <v>132</v>
      </c>
      <c r="B145" s="127"/>
      <c r="C145" s="127"/>
      <c r="D145" s="127"/>
      <c r="E145" s="127"/>
      <c r="F145" s="127"/>
      <c r="G145" s="127"/>
      <c r="H145" s="127"/>
      <c r="I145" s="128"/>
    </row>
    <row r="146" spans="1:9">
      <c r="A146" s="119">
        <v>61</v>
      </c>
      <c r="B146" s="119">
        <v>1</v>
      </c>
      <c r="C146" s="125" t="s">
        <v>133</v>
      </c>
      <c r="D146" s="106">
        <v>1599760</v>
      </c>
      <c r="E146" s="106">
        <v>925800</v>
      </c>
      <c r="F146" s="117">
        <f>SUM(D146:E146)</f>
        <v>2525560</v>
      </c>
      <c r="G146" s="106">
        <v>1599760</v>
      </c>
      <c r="H146" s="106">
        <v>925800</v>
      </c>
      <c r="I146" s="117">
        <f>SUM(G146:H146)</f>
        <v>2525560</v>
      </c>
    </row>
    <row r="147" spans="1:9">
      <c r="A147" s="119">
        <v>62</v>
      </c>
      <c r="B147" s="119">
        <v>2</v>
      </c>
      <c r="C147" s="125" t="s">
        <v>134</v>
      </c>
      <c r="D147" s="106">
        <v>333000</v>
      </c>
      <c r="E147" s="106">
        <v>291500</v>
      </c>
      <c r="F147" s="117">
        <f t="shared" ref="F147:F165" si="9">SUM(D147:E147)</f>
        <v>624500</v>
      </c>
      <c r="G147" s="106">
        <v>333000</v>
      </c>
      <c r="H147" s="106">
        <v>291500</v>
      </c>
      <c r="I147" s="117">
        <f t="shared" ref="I147:I165" si="10">SUM(G147:H147)</f>
        <v>624500</v>
      </c>
    </row>
    <row r="148" spans="1:9">
      <c r="A148" s="119">
        <v>63</v>
      </c>
      <c r="B148" s="119">
        <v>3</v>
      </c>
      <c r="C148" s="125" t="s">
        <v>135</v>
      </c>
      <c r="D148" s="106">
        <f>0</f>
        <v>0</v>
      </c>
      <c r="E148" s="106">
        <f>0</f>
        <v>0</v>
      </c>
      <c r="F148" s="117">
        <f t="shared" si="9"/>
        <v>0</v>
      </c>
      <c r="G148" s="106">
        <f>1425700+1425700</f>
        <v>2851400</v>
      </c>
      <c r="H148" s="106">
        <f>1257500+1257500</f>
        <v>2515000</v>
      </c>
      <c r="I148" s="117">
        <f t="shared" si="10"/>
        <v>5366400</v>
      </c>
    </row>
    <row r="149" spans="1:9">
      <c r="A149" s="119">
        <v>64</v>
      </c>
      <c r="B149" s="119">
        <v>4</v>
      </c>
      <c r="C149" s="125" t="s">
        <v>136</v>
      </c>
      <c r="D149" s="106">
        <f>0</f>
        <v>0</v>
      </c>
      <c r="E149" s="106">
        <v>290000</v>
      </c>
      <c r="F149" s="117">
        <f t="shared" si="9"/>
        <v>290000</v>
      </c>
      <c r="G149" s="106">
        <f>0</f>
        <v>0</v>
      </c>
      <c r="H149" s="106">
        <v>300000</v>
      </c>
      <c r="I149" s="117">
        <f t="shared" si="10"/>
        <v>300000</v>
      </c>
    </row>
    <row r="150" spans="1:9">
      <c r="A150" s="119">
        <v>65</v>
      </c>
      <c r="B150" s="119">
        <v>5</v>
      </c>
      <c r="C150" s="129" t="s">
        <v>137</v>
      </c>
      <c r="D150" s="106">
        <f>0</f>
        <v>0</v>
      </c>
      <c r="E150" s="106">
        <f>0</f>
        <v>0</v>
      </c>
      <c r="F150" s="117">
        <f t="shared" si="9"/>
        <v>0</v>
      </c>
      <c r="G150" s="106">
        <f>0</f>
        <v>0</v>
      </c>
      <c r="H150" s="106">
        <f>0</f>
        <v>0</v>
      </c>
      <c r="I150" s="117">
        <f t="shared" si="10"/>
        <v>0</v>
      </c>
    </row>
    <row r="151" spans="1:9">
      <c r="A151" s="119">
        <v>66</v>
      </c>
      <c r="B151" s="119">
        <v>6</v>
      </c>
      <c r="C151" s="125" t="s">
        <v>138</v>
      </c>
      <c r="D151" s="106">
        <v>794000</v>
      </c>
      <c r="E151" s="106">
        <v>1446000</v>
      </c>
      <c r="F151" s="117">
        <f t="shared" si="9"/>
        <v>2240000</v>
      </c>
      <c r="G151" s="106">
        <v>794000</v>
      </c>
      <c r="H151" s="106">
        <v>1446000</v>
      </c>
      <c r="I151" s="117">
        <f t="shared" si="10"/>
        <v>2240000</v>
      </c>
    </row>
    <row r="152" spans="1:9">
      <c r="A152" s="119">
        <v>67</v>
      </c>
      <c r="B152" s="119">
        <v>7</v>
      </c>
      <c r="C152" s="125" t="s">
        <v>139</v>
      </c>
      <c r="D152" s="106">
        <v>400000</v>
      </c>
      <c r="E152" s="106">
        <v>438400</v>
      </c>
      <c r="F152" s="117">
        <f t="shared" si="9"/>
        <v>838400</v>
      </c>
      <c r="G152" s="106">
        <v>400000</v>
      </c>
      <c r="H152" s="106">
        <v>433000</v>
      </c>
      <c r="I152" s="117">
        <f t="shared" si="10"/>
        <v>833000</v>
      </c>
    </row>
    <row r="153" spans="1:9">
      <c r="A153" s="119">
        <v>68</v>
      </c>
      <c r="B153" s="119">
        <v>8</v>
      </c>
      <c r="C153" s="125" t="s">
        <v>140</v>
      </c>
      <c r="D153" s="106">
        <v>561675</v>
      </c>
      <c r="E153" s="106">
        <v>1085000</v>
      </c>
      <c r="F153" s="117">
        <f t="shared" si="9"/>
        <v>1646675</v>
      </c>
      <c r="G153" s="106">
        <v>561675</v>
      </c>
      <c r="H153" s="106">
        <v>1085000</v>
      </c>
      <c r="I153" s="117">
        <f t="shared" si="10"/>
        <v>1646675</v>
      </c>
    </row>
    <row r="154" spans="1:9">
      <c r="A154" s="119">
        <v>69</v>
      </c>
      <c r="B154" s="119">
        <v>9</v>
      </c>
      <c r="C154" s="125" t="s">
        <v>141</v>
      </c>
      <c r="D154" s="106">
        <v>349000</v>
      </c>
      <c r="E154" s="106">
        <v>525000</v>
      </c>
      <c r="F154" s="117">
        <f t="shared" si="9"/>
        <v>874000</v>
      </c>
      <c r="G154" s="106">
        <v>349000</v>
      </c>
      <c r="H154" s="106">
        <v>525000</v>
      </c>
      <c r="I154" s="117">
        <f t="shared" si="10"/>
        <v>874000</v>
      </c>
    </row>
    <row r="155" spans="1:9">
      <c r="A155" s="119">
        <v>70</v>
      </c>
      <c r="B155" s="119">
        <v>10</v>
      </c>
      <c r="C155" s="125" t="s">
        <v>142</v>
      </c>
      <c r="D155" s="106">
        <v>357100</v>
      </c>
      <c r="E155" s="106">
        <v>109000</v>
      </c>
      <c r="F155" s="117">
        <f t="shared" si="9"/>
        <v>466100</v>
      </c>
      <c r="G155" s="106">
        <v>357100</v>
      </c>
      <c r="H155" s="106">
        <v>107000</v>
      </c>
      <c r="I155" s="117">
        <f t="shared" si="10"/>
        <v>464100</v>
      </c>
    </row>
    <row r="156" spans="1:9">
      <c r="A156" s="119">
        <v>71</v>
      </c>
      <c r="B156" s="119">
        <v>11</v>
      </c>
      <c r="C156" s="125" t="s">
        <v>143</v>
      </c>
      <c r="D156" s="106">
        <f>0</f>
        <v>0</v>
      </c>
      <c r="E156" s="106">
        <f>0</f>
        <v>0</v>
      </c>
      <c r="F156" s="117">
        <f t="shared" si="9"/>
        <v>0</v>
      </c>
      <c r="G156" s="106">
        <f>0</f>
        <v>0</v>
      </c>
      <c r="H156" s="106">
        <f>0</f>
        <v>0</v>
      </c>
      <c r="I156" s="117">
        <f t="shared" si="10"/>
        <v>0</v>
      </c>
    </row>
    <row r="157" spans="1:9">
      <c r="A157" s="119">
        <v>72</v>
      </c>
      <c r="B157" s="119">
        <v>12</v>
      </c>
      <c r="C157" s="125" t="s">
        <v>144</v>
      </c>
      <c r="D157" s="106">
        <v>255000</v>
      </c>
      <c r="E157" s="106">
        <v>834000</v>
      </c>
      <c r="F157" s="117">
        <f t="shared" si="9"/>
        <v>1089000</v>
      </c>
      <c r="G157" s="106">
        <v>255000</v>
      </c>
      <c r="H157" s="106">
        <v>829000</v>
      </c>
      <c r="I157" s="117">
        <f t="shared" si="10"/>
        <v>1084000</v>
      </c>
    </row>
    <row r="158" spans="1:9">
      <c r="A158" s="119">
        <v>73</v>
      </c>
      <c r="B158" s="119">
        <v>13</v>
      </c>
      <c r="C158" s="125" t="s">
        <v>145</v>
      </c>
      <c r="D158" s="106">
        <f>0</f>
        <v>0</v>
      </c>
      <c r="E158" s="106">
        <v>500000</v>
      </c>
      <c r="F158" s="117">
        <f t="shared" si="9"/>
        <v>500000</v>
      </c>
      <c r="G158" s="106">
        <f>0</f>
        <v>0</v>
      </c>
      <c r="H158" s="106">
        <v>500000</v>
      </c>
      <c r="I158" s="117">
        <f t="shared" si="10"/>
        <v>500000</v>
      </c>
    </row>
    <row r="159" spans="1:9">
      <c r="A159" s="119">
        <v>74</v>
      </c>
      <c r="B159" s="119">
        <v>14</v>
      </c>
      <c r="C159" s="129" t="s">
        <v>146</v>
      </c>
      <c r="D159" s="106">
        <f>0</f>
        <v>0</v>
      </c>
      <c r="E159" s="106">
        <f>0</f>
        <v>0</v>
      </c>
      <c r="F159" s="117">
        <f t="shared" si="9"/>
        <v>0</v>
      </c>
      <c r="G159" s="106">
        <f>0</f>
        <v>0</v>
      </c>
      <c r="H159" s="106">
        <f>0</f>
        <v>0</v>
      </c>
      <c r="I159" s="117">
        <f t="shared" si="10"/>
        <v>0</v>
      </c>
    </row>
    <row r="160" spans="1:9">
      <c r="A160" s="119">
        <v>75</v>
      </c>
      <c r="B160" s="119">
        <v>15</v>
      </c>
      <c r="C160" s="125" t="s">
        <v>147</v>
      </c>
      <c r="D160" s="106">
        <f>0</f>
        <v>0</v>
      </c>
      <c r="E160" s="106">
        <v>1091000</v>
      </c>
      <c r="F160" s="117">
        <f t="shared" si="9"/>
        <v>1091000</v>
      </c>
      <c r="G160" s="106">
        <f>0</f>
        <v>0</v>
      </c>
      <c r="H160" s="106">
        <v>1091000</v>
      </c>
      <c r="I160" s="117">
        <f t="shared" si="10"/>
        <v>1091000</v>
      </c>
    </row>
    <row r="161" spans="1:9">
      <c r="A161" s="119">
        <v>76</v>
      </c>
      <c r="B161" s="119">
        <v>16</v>
      </c>
      <c r="C161" s="125" t="s">
        <v>148</v>
      </c>
      <c r="D161" s="106">
        <f>0</f>
        <v>0</v>
      </c>
      <c r="E161" s="106">
        <v>2434000</v>
      </c>
      <c r="F161" s="117">
        <f t="shared" si="9"/>
        <v>2434000</v>
      </c>
      <c r="G161" s="106">
        <f>0</f>
        <v>0</v>
      </c>
      <c r="H161" s="106">
        <f>0</f>
        <v>0</v>
      </c>
      <c r="I161" s="117">
        <f t="shared" si="10"/>
        <v>0</v>
      </c>
    </row>
    <row r="162" spans="1:9">
      <c r="A162" s="119">
        <v>77</v>
      </c>
      <c r="B162" s="119">
        <v>17</v>
      </c>
      <c r="C162" s="125" t="s">
        <v>149</v>
      </c>
      <c r="D162" s="106">
        <f>0</f>
        <v>0</v>
      </c>
      <c r="E162" s="106">
        <f>0</f>
        <v>0</v>
      </c>
      <c r="F162" s="117">
        <f t="shared" si="9"/>
        <v>0</v>
      </c>
      <c r="G162" s="106">
        <f>0</f>
        <v>0</v>
      </c>
      <c r="H162" s="106">
        <v>763000</v>
      </c>
      <c r="I162" s="117">
        <f t="shared" si="10"/>
        <v>763000</v>
      </c>
    </row>
    <row r="163" spans="1:9">
      <c r="A163" s="119">
        <v>78</v>
      </c>
      <c r="B163" s="119">
        <v>18</v>
      </c>
      <c r="C163" s="121" t="s">
        <v>150</v>
      </c>
      <c r="D163" s="106">
        <v>229042</v>
      </c>
      <c r="E163" s="106">
        <v>2890522</v>
      </c>
      <c r="F163" s="117">
        <f t="shared" si="9"/>
        <v>3119564</v>
      </c>
      <c r="G163" s="106">
        <f>0</f>
        <v>0</v>
      </c>
      <c r="H163" s="106">
        <f>0</f>
        <v>0</v>
      </c>
      <c r="I163" s="117">
        <f t="shared" si="10"/>
        <v>0</v>
      </c>
    </row>
    <row r="164" spans="1:9">
      <c r="A164" s="119">
        <v>79</v>
      </c>
      <c r="B164" s="119">
        <v>19</v>
      </c>
      <c r="C164" s="121" t="s">
        <v>151</v>
      </c>
      <c r="D164" s="106">
        <v>273000</v>
      </c>
      <c r="E164" s="106">
        <v>738000</v>
      </c>
      <c r="F164" s="117">
        <f t="shared" si="9"/>
        <v>1011000</v>
      </c>
      <c r="G164" s="106">
        <v>273000</v>
      </c>
      <c r="H164" s="106">
        <v>732200</v>
      </c>
      <c r="I164" s="117">
        <f t="shared" si="10"/>
        <v>1005200</v>
      </c>
    </row>
    <row r="165" spans="1:9">
      <c r="A165" s="119">
        <v>80</v>
      </c>
      <c r="B165" s="119">
        <v>20</v>
      </c>
      <c r="C165" s="121" t="s">
        <v>152</v>
      </c>
      <c r="D165" s="106">
        <v>309000</v>
      </c>
      <c r="E165" s="106">
        <v>703000</v>
      </c>
      <c r="F165" s="117">
        <f t="shared" si="9"/>
        <v>1012000</v>
      </c>
      <c r="G165" s="106">
        <v>309000</v>
      </c>
      <c r="H165" s="106">
        <v>698000</v>
      </c>
      <c r="I165" s="117">
        <f t="shared" si="10"/>
        <v>1007000</v>
      </c>
    </row>
    <row r="166" spans="1:9">
      <c r="A166" s="108" t="s">
        <v>58</v>
      </c>
      <c r="B166" s="109"/>
      <c r="C166" s="109"/>
      <c r="D166" s="110">
        <f>SUM(D146:D165)</f>
        <v>5460577</v>
      </c>
      <c r="E166" s="110">
        <f>SUM(E146:E165)</f>
        <v>14301222</v>
      </c>
      <c r="F166" s="110">
        <f>SUM(D166:E166)</f>
        <v>19761799</v>
      </c>
      <c r="G166" s="110">
        <f>SUM(G146:G165)</f>
        <v>8082935</v>
      </c>
      <c r="H166" s="110">
        <f>SUM(H146:H165)</f>
        <v>12241500</v>
      </c>
      <c r="I166" s="110">
        <f>SUM(G166:H166)</f>
        <v>20324435</v>
      </c>
    </row>
    <row r="167" spans="1:9">
      <c r="A167" s="108" t="s">
        <v>153</v>
      </c>
      <c r="B167" s="109"/>
      <c r="C167" s="109"/>
      <c r="D167" s="109"/>
      <c r="E167" s="109"/>
      <c r="F167" s="109"/>
      <c r="G167" s="109"/>
      <c r="H167" s="109"/>
      <c r="I167" s="113"/>
    </row>
    <row r="168" spans="1:9">
      <c r="A168" s="119">
        <v>81</v>
      </c>
      <c r="B168" s="119">
        <v>1</v>
      </c>
      <c r="C168" s="121" t="s">
        <v>154</v>
      </c>
      <c r="D168" s="106">
        <v>1236910</v>
      </c>
      <c r="E168" s="106">
        <v>108500</v>
      </c>
      <c r="F168" s="117">
        <f>SUM(D168:E168)</f>
        <v>1345410</v>
      </c>
      <c r="G168" s="106">
        <v>1328960</v>
      </c>
      <c r="H168" s="106">
        <v>108500</v>
      </c>
      <c r="I168" s="117">
        <f>SUM(G168:H168)</f>
        <v>1437460</v>
      </c>
    </row>
    <row r="169" spans="1:9">
      <c r="A169" s="119">
        <v>82</v>
      </c>
      <c r="B169" s="119">
        <v>2</v>
      </c>
      <c r="C169" s="121" t="s">
        <v>155</v>
      </c>
      <c r="D169" s="106">
        <f>0</f>
        <v>0</v>
      </c>
      <c r="E169" s="106">
        <v>30000</v>
      </c>
      <c r="F169" s="117">
        <f t="shared" ref="F169:F187" si="11">SUM(D169:E169)</f>
        <v>30000</v>
      </c>
      <c r="G169" s="106">
        <f>0</f>
        <v>0</v>
      </c>
      <c r="H169" s="106">
        <v>30000</v>
      </c>
      <c r="I169" s="117">
        <f t="shared" ref="I169:I190" si="12">SUM(G169:H169)</f>
        <v>30000</v>
      </c>
    </row>
    <row r="170" spans="1:9">
      <c r="A170" s="119">
        <v>83</v>
      </c>
      <c r="B170" s="119">
        <v>3</v>
      </c>
      <c r="C170" s="121" t="s">
        <v>156</v>
      </c>
      <c r="D170" s="106">
        <f>0</f>
        <v>0</v>
      </c>
      <c r="E170" s="106">
        <f>265000+45000</f>
        <v>310000</v>
      </c>
      <c r="F170" s="117">
        <f t="shared" si="11"/>
        <v>310000</v>
      </c>
      <c r="G170" s="106">
        <f>0</f>
        <v>0</v>
      </c>
      <c r="H170" s="106">
        <f>270000+45000</f>
        <v>315000</v>
      </c>
      <c r="I170" s="117">
        <f t="shared" si="12"/>
        <v>315000</v>
      </c>
    </row>
    <row r="171" spans="1:9">
      <c r="A171" s="119">
        <v>84</v>
      </c>
      <c r="B171" s="119">
        <v>4</v>
      </c>
      <c r="C171" s="121" t="s">
        <v>157</v>
      </c>
      <c r="D171" s="106">
        <v>700000</v>
      </c>
      <c r="E171" s="106">
        <v>150000</v>
      </c>
      <c r="F171" s="117">
        <f t="shared" si="11"/>
        <v>850000</v>
      </c>
      <c r="G171" s="106">
        <f>0</f>
        <v>0</v>
      </c>
      <c r="H171" s="106">
        <f>0</f>
        <v>0</v>
      </c>
      <c r="I171" s="117">
        <f t="shared" si="12"/>
        <v>0</v>
      </c>
    </row>
    <row r="172" spans="1:9">
      <c r="A172" s="119">
        <v>85</v>
      </c>
      <c r="B172" s="119">
        <v>5</v>
      </c>
      <c r="C172" s="121" t="s">
        <v>158</v>
      </c>
      <c r="D172" s="106">
        <f>0</f>
        <v>0</v>
      </c>
      <c r="E172" s="106">
        <f>0</f>
        <v>0</v>
      </c>
      <c r="F172" s="117">
        <f t="shared" si="11"/>
        <v>0</v>
      </c>
      <c r="G172" s="106">
        <f>0</f>
        <v>0</v>
      </c>
      <c r="H172" s="106">
        <f>0</f>
        <v>0</v>
      </c>
      <c r="I172" s="117">
        <f t="shared" si="12"/>
        <v>0</v>
      </c>
    </row>
    <row r="173" spans="1:9">
      <c r="A173" s="119">
        <v>86</v>
      </c>
      <c r="B173" s="119">
        <v>6</v>
      </c>
      <c r="C173" s="125" t="s">
        <v>159</v>
      </c>
      <c r="D173" s="106">
        <v>20000000</v>
      </c>
      <c r="E173" s="106">
        <f>0</f>
        <v>0</v>
      </c>
      <c r="F173" s="117">
        <f t="shared" si="11"/>
        <v>20000000</v>
      </c>
      <c r="G173" s="106">
        <v>20000000</v>
      </c>
      <c r="H173" s="106">
        <f>0</f>
        <v>0</v>
      </c>
      <c r="I173" s="117">
        <f t="shared" si="12"/>
        <v>20000000</v>
      </c>
    </row>
    <row r="174" spans="1:9">
      <c r="A174" s="119">
        <v>87</v>
      </c>
      <c r="B174" s="119">
        <v>7</v>
      </c>
      <c r="C174" s="121" t="s">
        <v>160</v>
      </c>
      <c r="D174" s="106">
        <f>0</f>
        <v>0</v>
      </c>
      <c r="E174" s="106">
        <f>0</f>
        <v>0</v>
      </c>
      <c r="F174" s="117">
        <f t="shared" si="11"/>
        <v>0</v>
      </c>
      <c r="G174" s="106">
        <f>0</f>
        <v>0</v>
      </c>
      <c r="H174" s="106">
        <f>0</f>
        <v>0</v>
      </c>
      <c r="I174" s="117">
        <f t="shared" si="12"/>
        <v>0</v>
      </c>
    </row>
    <row r="175" spans="1:9">
      <c r="A175" s="119">
        <v>88</v>
      </c>
      <c r="B175" s="119">
        <v>8</v>
      </c>
      <c r="C175" s="121" t="s">
        <v>161</v>
      </c>
      <c r="D175" s="106">
        <f>0</f>
        <v>0</v>
      </c>
      <c r="E175" s="106">
        <f>0</f>
        <v>0</v>
      </c>
      <c r="F175" s="117">
        <f t="shared" si="11"/>
        <v>0</v>
      </c>
      <c r="G175" s="106">
        <f>0</f>
        <v>0</v>
      </c>
      <c r="H175" s="106">
        <f>0</f>
        <v>0</v>
      </c>
      <c r="I175" s="117">
        <f t="shared" si="12"/>
        <v>0</v>
      </c>
    </row>
    <row r="176" spans="1:9">
      <c r="A176" s="119">
        <v>89</v>
      </c>
      <c r="B176" s="119">
        <v>9</v>
      </c>
      <c r="C176" s="121" t="s">
        <v>162</v>
      </c>
      <c r="D176" s="106">
        <f>0</f>
        <v>0</v>
      </c>
      <c r="E176" s="106">
        <f>0</f>
        <v>0</v>
      </c>
      <c r="F176" s="117">
        <f t="shared" si="11"/>
        <v>0</v>
      </c>
      <c r="G176" s="106">
        <f>0</f>
        <v>0</v>
      </c>
      <c r="H176" s="106">
        <f>0</f>
        <v>0</v>
      </c>
      <c r="I176" s="117">
        <f t="shared" si="12"/>
        <v>0</v>
      </c>
    </row>
    <row r="177" spans="1:9">
      <c r="A177" s="119">
        <v>90</v>
      </c>
      <c r="B177" s="119">
        <v>10</v>
      </c>
      <c r="C177" s="121" t="s">
        <v>163</v>
      </c>
      <c r="D177" s="106">
        <f>0</f>
        <v>0</v>
      </c>
      <c r="E177" s="106">
        <f>0</f>
        <v>0</v>
      </c>
      <c r="F177" s="117">
        <f t="shared" si="11"/>
        <v>0</v>
      </c>
      <c r="G177" s="106">
        <f>0</f>
        <v>0</v>
      </c>
      <c r="H177" s="106">
        <f>0</f>
        <v>0</v>
      </c>
      <c r="I177" s="117">
        <f t="shared" si="12"/>
        <v>0</v>
      </c>
    </row>
    <row r="178" spans="1:9">
      <c r="A178" s="119">
        <v>91</v>
      </c>
      <c r="B178" s="119">
        <v>11</v>
      </c>
      <c r="C178" s="121" t="s">
        <v>164</v>
      </c>
      <c r="D178" s="106">
        <f>0</f>
        <v>0</v>
      </c>
      <c r="E178" s="106">
        <f>0</f>
        <v>0</v>
      </c>
      <c r="F178" s="117">
        <f t="shared" si="11"/>
        <v>0</v>
      </c>
      <c r="G178" s="106">
        <v>9053359</v>
      </c>
      <c r="H178" s="106">
        <f>0</f>
        <v>0</v>
      </c>
      <c r="I178" s="117">
        <f t="shared" si="12"/>
        <v>9053359</v>
      </c>
    </row>
    <row r="179" spans="1:9">
      <c r="A179" s="119">
        <v>92</v>
      </c>
      <c r="B179" s="119">
        <v>12</v>
      </c>
      <c r="C179" s="121" t="s">
        <v>165</v>
      </c>
      <c r="D179" s="106">
        <f>0</f>
        <v>0</v>
      </c>
      <c r="E179" s="106">
        <f>0</f>
        <v>0</v>
      </c>
      <c r="F179" s="117">
        <f t="shared" si="11"/>
        <v>0</v>
      </c>
      <c r="G179" s="106">
        <f>0</f>
        <v>0</v>
      </c>
      <c r="H179" s="106">
        <f>0</f>
        <v>0</v>
      </c>
      <c r="I179" s="117">
        <f t="shared" si="12"/>
        <v>0</v>
      </c>
    </row>
    <row r="180" spans="1:9">
      <c r="A180" s="119">
        <v>93</v>
      </c>
      <c r="B180" s="119">
        <v>13</v>
      </c>
      <c r="C180" s="121" t="s">
        <v>166</v>
      </c>
      <c r="D180" s="106">
        <f>0</f>
        <v>0</v>
      </c>
      <c r="E180" s="106">
        <f>0</f>
        <v>0</v>
      </c>
      <c r="F180" s="117">
        <f t="shared" si="11"/>
        <v>0</v>
      </c>
      <c r="G180" s="106">
        <f>0</f>
        <v>0</v>
      </c>
      <c r="H180" s="106">
        <f>83000+83000</f>
        <v>166000</v>
      </c>
      <c r="I180" s="117">
        <f t="shared" si="12"/>
        <v>166000</v>
      </c>
    </row>
    <row r="181" spans="1:9">
      <c r="A181" s="119">
        <v>94</v>
      </c>
      <c r="B181" s="119">
        <v>14</v>
      </c>
      <c r="C181" s="121" t="s">
        <v>167</v>
      </c>
      <c r="D181" s="106">
        <f>0</f>
        <v>0</v>
      </c>
      <c r="E181" s="106">
        <f>0</f>
        <v>0</v>
      </c>
      <c r="F181" s="117">
        <f t="shared" si="11"/>
        <v>0</v>
      </c>
      <c r="G181" s="106">
        <f>0</f>
        <v>0</v>
      </c>
      <c r="H181" s="106">
        <v>73000</v>
      </c>
      <c r="I181" s="117">
        <f t="shared" si="12"/>
        <v>73000</v>
      </c>
    </row>
    <row r="182" spans="1:9">
      <c r="A182" s="119">
        <v>95</v>
      </c>
      <c r="B182" s="119">
        <v>15</v>
      </c>
      <c r="C182" s="121" t="s">
        <v>168</v>
      </c>
      <c r="D182" s="106">
        <v>451000</v>
      </c>
      <c r="E182" s="106">
        <v>400000</v>
      </c>
      <c r="F182" s="117">
        <f t="shared" si="11"/>
        <v>851000</v>
      </c>
      <c r="G182" s="106">
        <v>458000</v>
      </c>
      <c r="H182" s="106">
        <v>400000</v>
      </c>
      <c r="I182" s="117">
        <f t="shared" si="12"/>
        <v>858000</v>
      </c>
    </row>
    <row r="183" spans="1:9">
      <c r="A183" s="119">
        <v>96</v>
      </c>
      <c r="B183" s="119">
        <v>16</v>
      </c>
      <c r="C183" s="121" t="s">
        <v>169</v>
      </c>
      <c r="D183" s="106">
        <v>1095800</v>
      </c>
      <c r="E183" s="106">
        <f>400000+330000</f>
        <v>730000</v>
      </c>
      <c r="F183" s="117">
        <f t="shared" si="11"/>
        <v>1825800</v>
      </c>
      <c r="G183" s="106">
        <v>997100</v>
      </c>
      <c r="H183" s="106">
        <f>340000+404000</f>
        <v>744000</v>
      </c>
      <c r="I183" s="117">
        <f t="shared" si="12"/>
        <v>1741100</v>
      </c>
    </row>
    <row r="184" spans="1:9">
      <c r="A184" s="119">
        <v>97</v>
      </c>
      <c r="B184" s="119">
        <v>17</v>
      </c>
      <c r="C184" s="121" t="s">
        <v>170</v>
      </c>
      <c r="D184" s="106">
        <f>0</f>
        <v>0</v>
      </c>
      <c r="E184" s="106">
        <f>0</f>
        <v>0</v>
      </c>
      <c r="F184" s="117">
        <f t="shared" si="11"/>
        <v>0</v>
      </c>
      <c r="G184" s="106">
        <f>0</f>
        <v>0</v>
      </c>
      <c r="H184" s="106">
        <f>0</f>
        <v>0</v>
      </c>
      <c r="I184" s="117">
        <f t="shared" si="12"/>
        <v>0</v>
      </c>
    </row>
    <row r="185" spans="1:9">
      <c r="A185" s="119">
        <v>98</v>
      </c>
      <c r="B185" s="119">
        <v>18</v>
      </c>
      <c r="C185" s="121" t="s">
        <v>171</v>
      </c>
      <c r="D185" s="106">
        <f>0</f>
        <v>0</v>
      </c>
      <c r="E185" s="106">
        <f>0</f>
        <v>0</v>
      </c>
      <c r="F185" s="117">
        <f t="shared" si="11"/>
        <v>0</v>
      </c>
      <c r="G185" s="106">
        <f>0</f>
        <v>0</v>
      </c>
      <c r="H185" s="106">
        <f>0</f>
        <v>0</v>
      </c>
      <c r="I185" s="117">
        <f t="shared" si="12"/>
        <v>0</v>
      </c>
    </row>
    <row r="186" spans="1:9">
      <c r="A186" s="119">
        <v>99</v>
      </c>
      <c r="B186" s="119">
        <v>19</v>
      </c>
      <c r="C186" s="121" t="s">
        <v>172</v>
      </c>
      <c r="D186" s="106">
        <f>0</f>
        <v>0</v>
      </c>
      <c r="E186" s="106">
        <f>0</f>
        <v>0</v>
      </c>
      <c r="F186" s="117">
        <f t="shared" si="11"/>
        <v>0</v>
      </c>
      <c r="G186" s="106">
        <f>0</f>
        <v>0</v>
      </c>
      <c r="H186" s="106">
        <f>0</f>
        <v>0</v>
      </c>
      <c r="I186" s="117">
        <f t="shared" si="12"/>
        <v>0</v>
      </c>
    </row>
    <row r="187" spans="1:9">
      <c r="A187" s="119">
        <v>100</v>
      </c>
      <c r="B187" s="119">
        <v>20</v>
      </c>
      <c r="C187" s="121" t="s">
        <v>173</v>
      </c>
      <c r="D187" s="106">
        <f>0</f>
        <v>0</v>
      </c>
      <c r="E187" s="106">
        <f>0</f>
        <v>0</v>
      </c>
      <c r="F187" s="117">
        <f t="shared" si="11"/>
        <v>0</v>
      </c>
      <c r="G187" s="106">
        <f>0</f>
        <v>0</v>
      </c>
      <c r="H187" s="106">
        <f>0</f>
        <v>0</v>
      </c>
      <c r="I187" s="117">
        <f t="shared" si="12"/>
        <v>0</v>
      </c>
    </row>
    <row r="188" spans="1:9">
      <c r="A188" s="119">
        <v>101</v>
      </c>
      <c r="B188" s="119">
        <v>21</v>
      </c>
      <c r="C188" s="121" t="s">
        <v>174</v>
      </c>
      <c r="D188" s="106">
        <f>0</f>
        <v>0</v>
      </c>
      <c r="E188" s="106">
        <f>0</f>
        <v>0</v>
      </c>
      <c r="F188" s="117">
        <f>SUM(D188:E188)</f>
        <v>0</v>
      </c>
      <c r="G188" s="106">
        <f>0</f>
        <v>0</v>
      </c>
      <c r="H188" s="106">
        <f>0</f>
        <v>0</v>
      </c>
      <c r="I188" s="117">
        <f>SUM(G188:H188)</f>
        <v>0</v>
      </c>
    </row>
    <row r="189" spans="1:9">
      <c r="A189" s="119">
        <v>102</v>
      </c>
      <c r="B189" s="119">
        <v>22</v>
      </c>
      <c r="C189" s="121" t="s">
        <v>175</v>
      </c>
      <c r="D189" s="106">
        <f>0</f>
        <v>0</v>
      </c>
      <c r="E189" s="106">
        <f>0</f>
        <v>0</v>
      </c>
      <c r="F189" s="117">
        <f>SUM(D189:E189)</f>
        <v>0</v>
      </c>
      <c r="G189" s="106">
        <f>0</f>
        <v>0</v>
      </c>
      <c r="H189" s="106">
        <f>0</f>
        <v>0</v>
      </c>
      <c r="I189" s="117">
        <f t="shared" si="12"/>
        <v>0</v>
      </c>
    </row>
    <row r="190" spans="1:9">
      <c r="A190" s="119">
        <v>103</v>
      </c>
      <c r="B190" s="119">
        <v>23</v>
      </c>
      <c r="C190" s="121" t="s">
        <v>176</v>
      </c>
      <c r="D190" s="106">
        <f>0</f>
        <v>0</v>
      </c>
      <c r="E190" s="106">
        <f>0</f>
        <v>0</v>
      </c>
      <c r="F190" s="117">
        <f>SUM(D190:E190)</f>
        <v>0</v>
      </c>
      <c r="G190" s="106">
        <f>0</f>
        <v>0</v>
      </c>
      <c r="H190" s="106">
        <f>0</f>
        <v>0</v>
      </c>
      <c r="I190" s="117">
        <f t="shared" si="12"/>
        <v>0</v>
      </c>
    </row>
    <row r="191" spans="1:9">
      <c r="A191" s="108" t="s">
        <v>58</v>
      </c>
      <c r="B191" s="109"/>
      <c r="C191" s="109"/>
      <c r="D191" s="110">
        <f>SUM(D168:D190)</f>
        <v>23483710</v>
      </c>
      <c r="E191" s="110">
        <f>SUM(E168:E190)</f>
        <v>1728500</v>
      </c>
      <c r="F191" s="110">
        <f>SUM(D191:E191)</f>
        <v>25212210</v>
      </c>
      <c r="G191" s="110">
        <f>SUM(G168:G190)</f>
        <v>31837419</v>
      </c>
      <c r="H191" s="110">
        <f>SUM(H168:H190)</f>
        <v>1836500</v>
      </c>
      <c r="I191" s="110">
        <f>SUM(G191:H191)</f>
        <v>33673919</v>
      </c>
    </row>
    <row r="192" spans="1:9">
      <c r="A192" s="108" t="s">
        <v>177</v>
      </c>
      <c r="B192" s="109"/>
      <c r="C192" s="109"/>
      <c r="D192" s="109"/>
      <c r="E192" s="109"/>
      <c r="F192" s="109"/>
      <c r="G192" s="109"/>
      <c r="H192" s="109"/>
      <c r="I192" s="113"/>
    </row>
    <row r="193" spans="1:9">
      <c r="A193" s="119">
        <v>104</v>
      </c>
      <c r="B193" s="119">
        <v>1</v>
      </c>
      <c r="C193" s="105" t="s">
        <v>178</v>
      </c>
      <c r="D193" s="106">
        <f>0</f>
        <v>0</v>
      </c>
      <c r="E193" s="106">
        <f>0</f>
        <v>0</v>
      </c>
      <c r="F193" s="117">
        <f>SUM(D193:E193)</f>
        <v>0</v>
      </c>
      <c r="G193" s="106">
        <f>0</f>
        <v>0</v>
      </c>
      <c r="H193" s="106">
        <f>0</f>
        <v>0</v>
      </c>
      <c r="I193" s="117">
        <f>SUM(G193:H193)</f>
        <v>0</v>
      </c>
    </row>
    <row r="194" spans="1:9">
      <c r="A194" s="119">
        <v>105</v>
      </c>
      <c r="B194" s="119">
        <v>2</v>
      </c>
      <c r="C194" s="120" t="s">
        <v>179</v>
      </c>
      <c r="D194" s="106">
        <v>72200</v>
      </c>
      <c r="E194" s="106">
        <v>255201</v>
      </c>
      <c r="F194" s="117">
        <f t="shared" ref="F194:F241" si="13">SUM(D194:E194)</f>
        <v>327401</v>
      </c>
      <c r="G194" s="106">
        <v>255201</v>
      </c>
      <c r="H194" s="106">
        <v>72200</v>
      </c>
      <c r="I194" s="117">
        <f t="shared" ref="I194:I241" si="14">SUM(G194:H194)</f>
        <v>327401</v>
      </c>
    </row>
    <row r="195" spans="1:9">
      <c r="A195" s="119">
        <v>106</v>
      </c>
      <c r="B195" s="119">
        <v>3</v>
      </c>
      <c r="C195" s="120" t="s">
        <v>180</v>
      </c>
      <c r="D195" s="106">
        <f>0</f>
        <v>0</v>
      </c>
      <c r="E195" s="106">
        <f>0</f>
        <v>0</v>
      </c>
      <c r="F195" s="117">
        <f t="shared" si="13"/>
        <v>0</v>
      </c>
      <c r="G195" s="106">
        <f>0</f>
        <v>0</v>
      </c>
      <c r="H195" s="106">
        <f>0</f>
        <v>0</v>
      </c>
      <c r="I195" s="117">
        <f t="shared" si="14"/>
        <v>0</v>
      </c>
    </row>
    <row r="196" spans="1:9">
      <c r="A196" s="119">
        <v>107</v>
      </c>
      <c r="B196" s="119">
        <v>4</v>
      </c>
      <c r="C196" s="105" t="s">
        <v>181</v>
      </c>
      <c r="D196" s="106">
        <f>0</f>
        <v>0</v>
      </c>
      <c r="E196" s="106">
        <f>0</f>
        <v>0</v>
      </c>
      <c r="F196" s="117">
        <f t="shared" si="13"/>
        <v>0</v>
      </c>
      <c r="G196" s="106">
        <v>1317100</v>
      </c>
      <c r="H196" s="106">
        <v>168000</v>
      </c>
      <c r="I196" s="117">
        <f t="shared" si="14"/>
        <v>1485100</v>
      </c>
    </row>
    <row r="197" spans="1:9">
      <c r="A197" s="119">
        <v>108</v>
      </c>
      <c r="B197" s="119">
        <v>5</v>
      </c>
      <c r="C197" s="130" t="s">
        <v>182</v>
      </c>
      <c r="D197" s="106">
        <f>0</f>
        <v>0</v>
      </c>
      <c r="E197" s="106">
        <f>0</f>
        <v>0</v>
      </c>
      <c r="F197" s="117">
        <f t="shared" si="13"/>
        <v>0</v>
      </c>
      <c r="G197" s="106">
        <f>0</f>
        <v>0</v>
      </c>
      <c r="H197" s="106">
        <f>0</f>
        <v>0</v>
      </c>
      <c r="I197" s="117">
        <f t="shared" si="14"/>
        <v>0</v>
      </c>
    </row>
    <row r="198" spans="1:9">
      <c r="A198" s="119">
        <v>109</v>
      </c>
      <c r="B198" s="119">
        <v>6</v>
      </c>
      <c r="C198" s="130" t="s">
        <v>183</v>
      </c>
      <c r="D198" s="106">
        <f>0</f>
        <v>0</v>
      </c>
      <c r="E198" s="106">
        <f>0</f>
        <v>0</v>
      </c>
      <c r="F198" s="117">
        <f t="shared" si="13"/>
        <v>0</v>
      </c>
      <c r="G198" s="106">
        <f>190075+190075</f>
        <v>380150</v>
      </c>
      <c r="H198" s="106">
        <f>350000+345000</f>
        <v>695000</v>
      </c>
      <c r="I198" s="117">
        <f t="shared" si="14"/>
        <v>1075150</v>
      </c>
    </row>
    <row r="199" spans="1:9">
      <c r="A199" s="119">
        <v>110</v>
      </c>
      <c r="B199" s="119">
        <v>7</v>
      </c>
      <c r="C199" s="130" t="s">
        <v>184</v>
      </c>
      <c r="D199" s="106">
        <f>0</f>
        <v>0</v>
      </c>
      <c r="E199" s="106">
        <f>0</f>
        <v>0</v>
      </c>
      <c r="F199" s="117">
        <f t="shared" si="13"/>
        <v>0</v>
      </c>
      <c r="G199" s="106">
        <f>442800+442800</f>
        <v>885600</v>
      </c>
      <c r="H199" s="106">
        <f>361500+361500</f>
        <v>723000</v>
      </c>
      <c r="I199" s="117">
        <f t="shared" si="14"/>
        <v>1608600</v>
      </c>
    </row>
    <row r="200" spans="1:9">
      <c r="A200" s="119">
        <v>111</v>
      </c>
      <c r="B200" s="119">
        <v>8</v>
      </c>
      <c r="C200" s="130" t="s">
        <v>185</v>
      </c>
      <c r="D200" s="106">
        <f>0</f>
        <v>0</v>
      </c>
      <c r="E200" s="106">
        <f>0</f>
        <v>0</v>
      </c>
      <c r="F200" s="117">
        <f t="shared" si="13"/>
        <v>0</v>
      </c>
      <c r="G200" s="106">
        <f>0</f>
        <v>0</v>
      </c>
      <c r="H200" s="106">
        <f>0</f>
        <v>0</v>
      </c>
      <c r="I200" s="117">
        <f t="shared" si="14"/>
        <v>0</v>
      </c>
    </row>
    <row r="201" spans="1:9">
      <c r="A201" s="119">
        <v>112</v>
      </c>
      <c r="B201" s="119">
        <v>9</v>
      </c>
      <c r="C201" s="130" t="s">
        <v>186</v>
      </c>
      <c r="D201" s="106">
        <f>0</f>
        <v>0</v>
      </c>
      <c r="E201" s="106">
        <f>0</f>
        <v>0</v>
      </c>
      <c r="F201" s="117">
        <f t="shared" si="13"/>
        <v>0</v>
      </c>
      <c r="G201" s="106">
        <f>0</f>
        <v>0</v>
      </c>
      <c r="H201" s="106">
        <f>0</f>
        <v>0</v>
      </c>
      <c r="I201" s="117">
        <f t="shared" si="14"/>
        <v>0</v>
      </c>
    </row>
    <row r="202" spans="1:9">
      <c r="A202" s="119">
        <v>113</v>
      </c>
      <c r="B202" s="119">
        <v>10</v>
      </c>
      <c r="C202" s="130" t="s">
        <v>187</v>
      </c>
      <c r="D202" s="106">
        <f>0</f>
        <v>0</v>
      </c>
      <c r="E202" s="106">
        <f>0</f>
        <v>0</v>
      </c>
      <c r="F202" s="117">
        <f t="shared" si="13"/>
        <v>0</v>
      </c>
      <c r="G202" s="106">
        <f>0</f>
        <v>0</v>
      </c>
      <c r="H202" s="106">
        <f>0</f>
        <v>0</v>
      </c>
      <c r="I202" s="117">
        <f t="shared" si="14"/>
        <v>0</v>
      </c>
    </row>
    <row r="203" spans="1:9">
      <c r="A203" s="119">
        <v>114</v>
      </c>
      <c r="B203" s="119">
        <v>11</v>
      </c>
      <c r="C203" s="130" t="s">
        <v>188</v>
      </c>
      <c r="D203" s="106">
        <f>0</f>
        <v>0</v>
      </c>
      <c r="E203" s="106">
        <f>0</f>
        <v>0</v>
      </c>
      <c r="F203" s="117">
        <f t="shared" si="13"/>
        <v>0</v>
      </c>
      <c r="G203" s="106">
        <f>0</f>
        <v>0</v>
      </c>
      <c r="H203" s="106">
        <f>0</f>
        <v>0</v>
      </c>
      <c r="I203" s="117">
        <f t="shared" si="14"/>
        <v>0</v>
      </c>
    </row>
    <row r="204" spans="1:9">
      <c r="A204" s="119">
        <v>115</v>
      </c>
      <c r="B204" s="119">
        <v>12</v>
      </c>
      <c r="C204" s="130" t="s">
        <v>189</v>
      </c>
      <c r="D204" s="106">
        <f>0</f>
        <v>0</v>
      </c>
      <c r="E204" s="106">
        <f>0</f>
        <v>0</v>
      </c>
      <c r="F204" s="117">
        <f t="shared" si="13"/>
        <v>0</v>
      </c>
      <c r="G204" s="106">
        <f>0</f>
        <v>0</v>
      </c>
      <c r="H204" s="106">
        <f>0</f>
        <v>0</v>
      </c>
      <c r="I204" s="117">
        <f t="shared" si="14"/>
        <v>0</v>
      </c>
    </row>
    <row r="205" spans="1:9">
      <c r="A205" s="119">
        <v>116</v>
      </c>
      <c r="B205" s="119">
        <v>13</v>
      </c>
      <c r="C205" s="130" t="s">
        <v>190</v>
      </c>
      <c r="D205" s="106">
        <f>0</f>
        <v>0</v>
      </c>
      <c r="E205" s="106">
        <f>0</f>
        <v>0</v>
      </c>
      <c r="F205" s="117">
        <f t="shared" si="13"/>
        <v>0</v>
      </c>
      <c r="G205" s="106">
        <f>0</f>
        <v>0</v>
      </c>
      <c r="H205" s="106">
        <f>0</f>
        <v>0</v>
      </c>
      <c r="I205" s="117">
        <f t="shared" si="14"/>
        <v>0</v>
      </c>
    </row>
    <row r="206" spans="1:9">
      <c r="A206" s="119">
        <v>117</v>
      </c>
      <c r="B206" s="119">
        <v>14</v>
      </c>
      <c r="C206" s="130" t="s">
        <v>191</v>
      </c>
      <c r="D206" s="106">
        <f>0</f>
        <v>0</v>
      </c>
      <c r="E206" s="106">
        <f>0</f>
        <v>0</v>
      </c>
      <c r="F206" s="117">
        <f t="shared" si="13"/>
        <v>0</v>
      </c>
      <c r="G206" s="106">
        <v>400000</v>
      </c>
      <c r="H206" s="106">
        <v>340000</v>
      </c>
      <c r="I206" s="117">
        <f t="shared" si="14"/>
        <v>740000</v>
      </c>
    </row>
    <row r="207" spans="1:9">
      <c r="A207" s="119">
        <v>118</v>
      </c>
      <c r="B207" s="119">
        <v>15</v>
      </c>
      <c r="C207" s="130" t="s">
        <v>192</v>
      </c>
      <c r="D207" s="106">
        <f>0</f>
        <v>0</v>
      </c>
      <c r="E207" s="106">
        <v>28000</v>
      </c>
      <c r="F207" s="117">
        <f t="shared" si="13"/>
        <v>28000</v>
      </c>
      <c r="G207" s="106">
        <f>0</f>
        <v>0</v>
      </c>
      <c r="H207" s="106">
        <v>28000</v>
      </c>
      <c r="I207" s="117">
        <f t="shared" si="14"/>
        <v>28000</v>
      </c>
    </row>
    <row r="208" spans="1:9">
      <c r="A208" s="119">
        <v>119</v>
      </c>
      <c r="B208" s="119">
        <v>16</v>
      </c>
      <c r="C208" s="130" t="s">
        <v>193</v>
      </c>
      <c r="D208" s="106">
        <f>0</f>
        <v>0</v>
      </c>
      <c r="E208" s="106">
        <f>0</f>
        <v>0</v>
      </c>
      <c r="F208" s="117">
        <f t="shared" si="13"/>
        <v>0</v>
      </c>
      <c r="G208" s="106">
        <f>0</f>
        <v>0</v>
      </c>
      <c r="H208" s="106">
        <f>0</f>
        <v>0</v>
      </c>
      <c r="I208" s="117">
        <f t="shared" si="14"/>
        <v>0</v>
      </c>
    </row>
    <row r="209" spans="1:9">
      <c r="A209" s="119">
        <v>120</v>
      </c>
      <c r="B209" s="119">
        <v>17</v>
      </c>
      <c r="C209" s="130" t="s">
        <v>194</v>
      </c>
      <c r="D209" s="106">
        <f>0</f>
        <v>0</v>
      </c>
      <c r="E209" s="106">
        <v>27000</v>
      </c>
      <c r="F209" s="117">
        <f t="shared" si="13"/>
        <v>27000</v>
      </c>
      <c r="G209" s="106">
        <f>0</f>
        <v>0</v>
      </c>
      <c r="H209" s="106">
        <v>27000</v>
      </c>
      <c r="I209" s="117">
        <f t="shared" si="14"/>
        <v>27000</v>
      </c>
    </row>
    <row r="210" spans="1:9">
      <c r="A210" s="119">
        <v>121</v>
      </c>
      <c r="B210" s="119">
        <v>18</v>
      </c>
      <c r="C210" s="130" t="s">
        <v>195</v>
      </c>
      <c r="D210" s="106">
        <f>0</f>
        <v>0</v>
      </c>
      <c r="E210" s="106">
        <f>0</f>
        <v>0</v>
      </c>
      <c r="F210" s="117">
        <f t="shared" si="13"/>
        <v>0</v>
      </c>
      <c r="G210" s="106">
        <f>0</f>
        <v>0</v>
      </c>
      <c r="H210" s="106">
        <f>0</f>
        <v>0</v>
      </c>
      <c r="I210" s="117">
        <f t="shared" si="14"/>
        <v>0</v>
      </c>
    </row>
    <row r="211" spans="1:9">
      <c r="A211" s="119">
        <v>122</v>
      </c>
      <c r="B211" s="119">
        <v>19</v>
      </c>
      <c r="C211" s="130" t="s">
        <v>196</v>
      </c>
      <c r="D211" s="106">
        <f>0</f>
        <v>0</v>
      </c>
      <c r="E211" s="106">
        <v>197000</v>
      </c>
      <c r="F211" s="117">
        <f t="shared" si="13"/>
        <v>197000</v>
      </c>
      <c r="G211" s="106">
        <f>0</f>
        <v>0</v>
      </c>
      <c r="H211" s="106">
        <v>197000</v>
      </c>
      <c r="I211" s="117">
        <f t="shared" si="14"/>
        <v>197000</v>
      </c>
    </row>
    <row r="212" spans="1:9">
      <c r="A212" s="119">
        <v>123</v>
      </c>
      <c r="B212" s="119">
        <v>20</v>
      </c>
      <c r="C212" s="130" t="s">
        <v>197</v>
      </c>
      <c r="D212" s="106">
        <f>0</f>
        <v>0</v>
      </c>
      <c r="E212" s="106">
        <f>116000+116000</f>
        <v>232000</v>
      </c>
      <c r="F212" s="117">
        <f t="shared" si="13"/>
        <v>232000</v>
      </c>
      <c r="G212" s="106">
        <f>0</f>
        <v>0</v>
      </c>
      <c r="H212" s="106">
        <f>0</f>
        <v>0</v>
      </c>
      <c r="I212" s="117">
        <f t="shared" si="14"/>
        <v>0</v>
      </c>
    </row>
    <row r="213" spans="1:9">
      <c r="A213" s="119">
        <v>124</v>
      </c>
      <c r="B213" s="119">
        <v>21</v>
      </c>
      <c r="C213" s="130" t="s">
        <v>198</v>
      </c>
      <c r="D213" s="106">
        <v>85000</v>
      </c>
      <c r="E213" s="106">
        <v>140000</v>
      </c>
      <c r="F213" s="117">
        <f t="shared" si="13"/>
        <v>225000</v>
      </c>
      <c r="G213" s="106">
        <v>85000</v>
      </c>
      <c r="H213" s="106">
        <v>140000</v>
      </c>
      <c r="I213" s="117">
        <f t="shared" si="14"/>
        <v>225000</v>
      </c>
    </row>
    <row r="214" spans="1:9">
      <c r="A214" s="119">
        <v>125</v>
      </c>
      <c r="B214" s="119">
        <v>22</v>
      </c>
      <c r="C214" s="130" t="s">
        <v>199</v>
      </c>
      <c r="D214" s="106">
        <f>0</f>
        <v>0</v>
      </c>
      <c r="E214" s="106">
        <v>192500</v>
      </c>
      <c r="F214" s="117">
        <f t="shared" si="13"/>
        <v>192500</v>
      </c>
      <c r="G214" s="106">
        <f>0</f>
        <v>0</v>
      </c>
      <c r="H214" s="106">
        <v>192500</v>
      </c>
      <c r="I214" s="117">
        <f t="shared" si="14"/>
        <v>192500</v>
      </c>
    </row>
    <row r="215" spans="1:9">
      <c r="A215" s="119">
        <v>126</v>
      </c>
      <c r="B215" s="119">
        <v>23</v>
      </c>
      <c r="C215" s="130" t="s">
        <v>200</v>
      </c>
      <c r="D215" s="106">
        <f>0</f>
        <v>0</v>
      </c>
      <c r="E215" s="106">
        <f>0</f>
        <v>0</v>
      </c>
      <c r="F215" s="117">
        <f t="shared" si="13"/>
        <v>0</v>
      </c>
      <c r="G215" s="106">
        <f>0</f>
        <v>0</v>
      </c>
      <c r="H215" s="106">
        <f>0</f>
        <v>0</v>
      </c>
      <c r="I215" s="117">
        <f t="shared" si="14"/>
        <v>0</v>
      </c>
    </row>
    <row r="216" spans="1:9">
      <c r="A216" s="119">
        <v>127</v>
      </c>
      <c r="B216" s="119">
        <v>24</v>
      </c>
      <c r="C216" s="130" t="s">
        <v>201</v>
      </c>
      <c r="D216" s="106">
        <v>79000</v>
      </c>
      <c r="E216" s="106">
        <v>690000</v>
      </c>
      <c r="F216" s="117">
        <f t="shared" si="13"/>
        <v>769000</v>
      </c>
      <c r="G216" s="106">
        <v>79000</v>
      </c>
      <c r="H216" s="106">
        <v>665000</v>
      </c>
      <c r="I216" s="117">
        <f t="shared" si="14"/>
        <v>744000</v>
      </c>
    </row>
    <row r="217" spans="1:9">
      <c r="A217" s="119">
        <v>128</v>
      </c>
      <c r="B217" s="119">
        <v>25</v>
      </c>
      <c r="C217" s="130" t="s">
        <v>202</v>
      </c>
      <c r="D217" s="106">
        <v>242000</v>
      </c>
      <c r="E217" s="106">
        <f>0</f>
        <v>0</v>
      </c>
      <c r="F217" s="117">
        <f t="shared" si="13"/>
        <v>242000</v>
      </c>
      <c r="G217" s="106">
        <v>242000</v>
      </c>
      <c r="H217" s="106">
        <f>0</f>
        <v>0</v>
      </c>
      <c r="I217" s="117">
        <f t="shared" si="14"/>
        <v>242000</v>
      </c>
    </row>
    <row r="218" spans="1:9">
      <c r="A218" s="119">
        <v>129</v>
      </c>
      <c r="B218" s="119">
        <v>26</v>
      </c>
      <c r="C218" s="130" t="s">
        <v>203</v>
      </c>
      <c r="D218" s="106">
        <f>0</f>
        <v>0</v>
      </c>
      <c r="E218" s="106">
        <f>0</f>
        <v>0</v>
      </c>
      <c r="F218" s="117">
        <f t="shared" si="13"/>
        <v>0</v>
      </c>
      <c r="G218" s="106">
        <f>0</f>
        <v>0</v>
      </c>
      <c r="H218" s="106">
        <f>0</f>
        <v>0</v>
      </c>
      <c r="I218" s="117">
        <f t="shared" si="14"/>
        <v>0</v>
      </c>
    </row>
    <row r="219" spans="1:9">
      <c r="A219" s="119">
        <v>130</v>
      </c>
      <c r="B219" s="119">
        <v>27</v>
      </c>
      <c r="C219" s="130" t="s">
        <v>204</v>
      </c>
      <c r="D219" s="106">
        <v>1000000</v>
      </c>
      <c r="E219" s="106">
        <f>0</f>
        <v>0</v>
      </c>
      <c r="F219" s="117">
        <f t="shared" si="13"/>
        <v>1000000</v>
      </c>
      <c r="G219" s="106">
        <v>1000000</v>
      </c>
      <c r="H219" s="106">
        <f>0</f>
        <v>0</v>
      </c>
      <c r="I219" s="117">
        <f t="shared" si="14"/>
        <v>1000000</v>
      </c>
    </row>
    <row r="220" spans="1:9">
      <c r="A220" s="119">
        <v>131</v>
      </c>
      <c r="B220" s="119">
        <v>28</v>
      </c>
      <c r="C220" s="130" t="s">
        <v>205</v>
      </c>
      <c r="D220" s="106">
        <f>0</f>
        <v>0</v>
      </c>
      <c r="E220" s="106">
        <f>0</f>
        <v>0</v>
      </c>
      <c r="F220" s="117">
        <f t="shared" si="13"/>
        <v>0</v>
      </c>
      <c r="G220" s="106">
        <f>0</f>
        <v>0</v>
      </c>
      <c r="H220" s="106">
        <f>0</f>
        <v>0</v>
      </c>
      <c r="I220" s="117">
        <f t="shared" si="14"/>
        <v>0</v>
      </c>
    </row>
    <row r="221" spans="1:9">
      <c r="A221" s="119">
        <v>132</v>
      </c>
      <c r="B221" s="119">
        <v>29</v>
      </c>
      <c r="C221" s="130" t="s">
        <v>206</v>
      </c>
      <c r="D221" s="106">
        <f>0</f>
        <v>0</v>
      </c>
      <c r="E221" s="106">
        <f>0</f>
        <v>0</v>
      </c>
      <c r="F221" s="117">
        <f t="shared" si="13"/>
        <v>0</v>
      </c>
      <c r="G221" s="106">
        <f>0</f>
        <v>0</v>
      </c>
      <c r="H221" s="106">
        <f>0</f>
        <v>0</v>
      </c>
      <c r="I221" s="117">
        <f t="shared" si="14"/>
        <v>0</v>
      </c>
    </row>
    <row r="222" spans="1:9">
      <c r="A222" s="119">
        <v>133</v>
      </c>
      <c r="B222" s="119">
        <v>30</v>
      </c>
      <c r="C222" s="130" t="s">
        <v>207</v>
      </c>
      <c r="D222" s="106">
        <f>0</f>
        <v>0</v>
      </c>
      <c r="E222" s="106">
        <f>0</f>
        <v>0</v>
      </c>
      <c r="F222" s="117">
        <f t="shared" si="13"/>
        <v>0</v>
      </c>
      <c r="G222" s="106">
        <f>0</f>
        <v>0</v>
      </c>
      <c r="H222" s="106">
        <f>0</f>
        <v>0</v>
      </c>
      <c r="I222" s="117">
        <f t="shared" si="14"/>
        <v>0</v>
      </c>
    </row>
    <row r="223" spans="1:9">
      <c r="A223" s="119">
        <v>134</v>
      </c>
      <c r="B223" s="119">
        <v>31</v>
      </c>
      <c r="C223" s="130" t="s">
        <v>208</v>
      </c>
      <c r="D223" s="106">
        <f>0</f>
        <v>0</v>
      </c>
      <c r="E223" s="106">
        <f>0</f>
        <v>0</v>
      </c>
      <c r="F223" s="117">
        <f t="shared" si="13"/>
        <v>0</v>
      </c>
      <c r="G223" s="106">
        <f>0</f>
        <v>0</v>
      </c>
      <c r="H223" s="106">
        <f>0</f>
        <v>0</v>
      </c>
      <c r="I223" s="117">
        <f t="shared" si="14"/>
        <v>0</v>
      </c>
    </row>
    <row r="224" spans="1:9">
      <c r="A224" s="119">
        <v>135</v>
      </c>
      <c r="B224" s="119">
        <v>32</v>
      </c>
      <c r="C224" s="130" t="s">
        <v>209</v>
      </c>
      <c r="D224" s="106">
        <f>0</f>
        <v>0</v>
      </c>
      <c r="E224" s="106">
        <v>106000</v>
      </c>
      <c r="F224" s="117">
        <f t="shared" si="13"/>
        <v>106000</v>
      </c>
      <c r="G224" s="106">
        <f>0</f>
        <v>0</v>
      </c>
      <c r="H224" s="106">
        <v>106000</v>
      </c>
      <c r="I224" s="117">
        <f t="shared" si="14"/>
        <v>106000</v>
      </c>
    </row>
    <row r="225" spans="1:9">
      <c r="A225" s="119">
        <v>136</v>
      </c>
      <c r="B225" s="119">
        <v>33</v>
      </c>
      <c r="C225" s="130" t="s">
        <v>210</v>
      </c>
      <c r="D225" s="106">
        <v>176000</v>
      </c>
      <c r="E225" s="106">
        <f>0</f>
        <v>0</v>
      </c>
      <c r="F225" s="117">
        <f t="shared" si="13"/>
        <v>176000</v>
      </c>
      <c r="G225" s="106">
        <v>88000</v>
      </c>
      <c r="H225" s="106">
        <f>0</f>
        <v>0</v>
      </c>
      <c r="I225" s="117">
        <f t="shared" si="14"/>
        <v>88000</v>
      </c>
    </row>
    <row r="226" spans="1:9">
      <c r="A226" s="119">
        <v>137</v>
      </c>
      <c r="B226" s="119">
        <v>34</v>
      </c>
      <c r="C226" s="130" t="s">
        <v>211</v>
      </c>
      <c r="D226" s="106">
        <f>0</f>
        <v>0</v>
      </c>
      <c r="E226" s="106">
        <f>0</f>
        <v>0</v>
      </c>
      <c r="F226" s="117">
        <f t="shared" si="13"/>
        <v>0</v>
      </c>
      <c r="G226" s="106">
        <f>0</f>
        <v>0</v>
      </c>
      <c r="H226" s="106">
        <f>0</f>
        <v>0</v>
      </c>
      <c r="I226" s="117">
        <f t="shared" si="14"/>
        <v>0</v>
      </c>
    </row>
    <row r="227" spans="1:9">
      <c r="A227" s="119">
        <v>138</v>
      </c>
      <c r="B227" s="119">
        <v>35</v>
      </c>
      <c r="C227" s="130" t="s">
        <v>212</v>
      </c>
      <c r="D227" s="106">
        <f>0</f>
        <v>0</v>
      </c>
      <c r="E227" s="106">
        <f>0</f>
        <v>0</v>
      </c>
      <c r="F227" s="117">
        <f t="shared" si="13"/>
        <v>0</v>
      </c>
      <c r="G227" s="106">
        <f>0</f>
        <v>0</v>
      </c>
      <c r="H227" s="106">
        <f>0</f>
        <v>0</v>
      </c>
      <c r="I227" s="117">
        <f t="shared" si="14"/>
        <v>0</v>
      </c>
    </row>
    <row r="228" spans="1:9">
      <c r="A228" s="119">
        <v>139</v>
      </c>
      <c r="B228" s="119">
        <v>36</v>
      </c>
      <c r="C228" s="130" t="s">
        <v>213</v>
      </c>
      <c r="D228" s="106">
        <f>0</f>
        <v>0</v>
      </c>
      <c r="E228" s="106">
        <f>0</f>
        <v>0</v>
      </c>
      <c r="F228" s="117">
        <f t="shared" si="13"/>
        <v>0</v>
      </c>
      <c r="G228" s="106">
        <f>0</f>
        <v>0</v>
      </c>
      <c r="H228" s="106">
        <f>0</f>
        <v>0</v>
      </c>
      <c r="I228" s="117">
        <f t="shared" si="14"/>
        <v>0</v>
      </c>
    </row>
    <row r="229" spans="1:9">
      <c r="A229" s="119">
        <v>140</v>
      </c>
      <c r="B229" s="119">
        <v>37</v>
      </c>
      <c r="C229" s="130" t="s">
        <v>214</v>
      </c>
      <c r="D229" s="106">
        <f>0</f>
        <v>0</v>
      </c>
      <c r="E229" s="106">
        <f>0</f>
        <v>0</v>
      </c>
      <c r="F229" s="117">
        <f t="shared" si="13"/>
        <v>0</v>
      </c>
      <c r="G229" s="106">
        <f>0</f>
        <v>0</v>
      </c>
      <c r="H229" s="106">
        <f>0</f>
        <v>0</v>
      </c>
      <c r="I229" s="117">
        <f t="shared" si="14"/>
        <v>0</v>
      </c>
    </row>
    <row r="230" spans="1:9">
      <c r="A230" s="119">
        <v>141</v>
      </c>
      <c r="B230" s="119">
        <v>38</v>
      </c>
      <c r="C230" s="130" t="s">
        <v>215</v>
      </c>
      <c r="D230" s="106">
        <f>0</f>
        <v>0</v>
      </c>
      <c r="E230" s="106">
        <f>0</f>
        <v>0</v>
      </c>
      <c r="F230" s="117">
        <f t="shared" si="13"/>
        <v>0</v>
      </c>
      <c r="G230" s="106">
        <f>0</f>
        <v>0</v>
      </c>
      <c r="H230" s="106">
        <f>0</f>
        <v>0</v>
      </c>
      <c r="I230" s="117">
        <f t="shared" si="14"/>
        <v>0</v>
      </c>
    </row>
    <row r="231" spans="1:9">
      <c r="A231" s="119">
        <v>142</v>
      </c>
      <c r="B231" s="119">
        <v>39</v>
      </c>
      <c r="C231" s="130" t="s">
        <v>216</v>
      </c>
      <c r="D231" s="106">
        <f>0</f>
        <v>0</v>
      </c>
      <c r="E231" s="106">
        <v>350000</v>
      </c>
      <c r="F231" s="117">
        <f t="shared" si="13"/>
        <v>350000</v>
      </c>
      <c r="G231" s="106">
        <f>0</f>
        <v>0</v>
      </c>
      <c r="H231" s="106">
        <v>350000</v>
      </c>
      <c r="I231" s="117">
        <f t="shared" si="14"/>
        <v>350000</v>
      </c>
    </row>
    <row r="232" spans="1:9">
      <c r="A232" s="119">
        <v>143</v>
      </c>
      <c r="B232" s="119">
        <v>40</v>
      </c>
      <c r="C232" s="130" t="s">
        <v>217</v>
      </c>
      <c r="D232" s="106">
        <f>0</f>
        <v>0</v>
      </c>
      <c r="E232" s="106">
        <f>0</f>
        <v>0</v>
      </c>
      <c r="F232" s="117">
        <f t="shared" si="13"/>
        <v>0</v>
      </c>
      <c r="G232" s="106">
        <f>0</f>
        <v>0</v>
      </c>
      <c r="H232" s="106">
        <f>0</f>
        <v>0</v>
      </c>
      <c r="I232" s="117">
        <f t="shared" si="14"/>
        <v>0</v>
      </c>
    </row>
    <row r="233" spans="1:9">
      <c r="A233" s="119">
        <v>144</v>
      </c>
      <c r="B233" s="119">
        <v>41</v>
      </c>
      <c r="C233" s="130" t="s">
        <v>218</v>
      </c>
      <c r="D233" s="106">
        <f>0</f>
        <v>0</v>
      </c>
      <c r="E233" s="106">
        <f>0</f>
        <v>0</v>
      </c>
      <c r="F233" s="117">
        <f t="shared" si="13"/>
        <v>0</v>
      </c>
      <c r="G233" s="106">
        <f>0</f>
        <v>0</v>
      </c>
      <c r="H233" s="106">
        <f>0</f>
        <v>0</v>
      </c>
      <c r="I233" s="117">
        <f t="shared" si="14"/>
        <v>0</v>
      </c>
    </row>
    <row r="234" spans="1:9">
      <c r="A234" s="119">
        <v>145</v>
      </c>
      <c r="B234" s="119">
        <v>42</v>
      </c>
      <c r="C234" s="130" t="s">
        <v>219</v>
      </c>
      <c r="D234" s="106">
        <f>0</f>
        <v>0</v>
      </c>
      <c r="E234" s="106">
        <f>0</f>
        <v>0</v>
      </c>
      <c r="F234" s="117">
        <f t="shared" si="13"/>
        <v>0</v>
      </c>
      <c r="G234" s="106">
        <f>0</f>
        <v>0</v>
      </c>
      <c r="H234" s="106">
        <f>0</f>
        <v>0</v>
      </c>
      <c r="I234" s="117">
        <f t="shared" si="14"/>
        <v>0</v>
      </c>
    </row>
    <row r="235" spans="1:9">
      <c r="A235" s="119">
        <v>146</v>
      </c>
      <c r="B235" s="119">
        <v>43</v>
      </c>
      <c r="C235" s="130" t="s">
        <v>220</v>
      </c>
      <c r="D235" s="106">
        <v>200000</v>
      </c>
      <c r="E235" s="106">
        <f>0</f>
        <v>0</v>
      </c>
      <c r="F235" s="117">
        <f t="shared" si="13"/>
        <v>200000</v>
      </c>
      <c r="G235" s="106">
        <f>0</f>
        <v>0</v>
      </c>
      <c r="H235" s="106">
        <f>0</f>
        <v>0</v>
      </c>
      <c r="I235" s="117">
        <f t="shared" si="14"/>
        <v>0</v>
      </c>
    </row>
    <row r="236" spans="1:9">
      <c r="A236" s="119">
        <v>147</v>
      </c>
      <c r="B236" s="119">
        <v>44</v>
      </c>
      <c r="C236" s="130" t="s">
        <v>221</v>
      </c>
      <c r="D236" s="106">
        <f>0</f>
        <v>0</v>
      </c>
      <c r="E236" s="106">
        <f>0</f>
        <v>0</v>
      </c>
      <c r="F236" s="117">
        <f t="shared" si="13"/>
        <v>0</v>
      </c>
      <c r="G236" s="106">
        <f>0</f>
        <v>0</v>
      </c>
      <c r="H236" s="106">
        <f>0</f>
        <v>0</v>
      </c>
      <c r="I236" s="117">
        <f t="shared" si="14"/>
        <v>0</v>
      </c>
    </row>
    <row r="237" spans="1:9">
      <c r="A237" s="119">
        <v>148</v>
      </c>
      <c r="B237" s="119">
        <v>45</v>
      </c>
      <c r="C237" s="130" t="s">
        <v>222</v>
      </c>
      <c r="D237" s="106">
        <f>0</f>
        <v>0</v>
      </c>
      <c r="E237" s="106">
        <f>0</f>
        <v>0</v>
      </c>
      <c r="F237" s="117">
        <f t="shared" si="13"/>
        <v>0</v>
      </c>
      <c r="G237" s="106">
        <f>0</f>
        <v>0</v>
      </c>
      <c r="H237" s="106">
        <f>0</f>
        <v>0</v>
      </c>
      <c r="I237" s="117">
        <f t="shared" si="14"/>
        <v>0</v>
      </c>
    </row>
    <row r="238" spans="1:9">
      <c r="A238" s="119">
        <v>149</v>
      </c>
      <c r="B238" s="119">
        <v>46</v>
      </c>
      <c r="C238" s="130" t="s">
        <v>306</v>
      </c>
      <c r="D238" s="106"/>
      <c r="E238" s="106"/>
      <c r="F238" s="117"/>
      <c r="G238" s="106">
        <v>750000</v>
      </c>
      <c r="H238" s="106">
        <f>0</f>
        <v>0</v>
      </c>
      <c r="I238" s="117">
        <f t="shared" si="14"/>
        <v>750000</v>
      </c>
    </row>
    <row r="239" spans="1:9">
      <c r="A239" s="119">
        <v>150</v>
      </c>
      <c r="B239" s="119">
        <v>47</v>
      </c>
      <c r="C239" s="130" t="s">
        <v>281</v>
      </c>
      <c r="D239" s="106">
        <v>700000</v>
      </c>
      <c r="E239" s="106">
        <f>0</f>
        <v>0</v>
      </c>
      <c r="F239" s="117">
        <f t="shared" si="13"/>
        <v>700000</v>
      </c>
      <c r="G239" s="106">
        <v>350000</v>
      </c>
      <c r="H239" s="106">
        <f>0</f>
        <v>0</v>
      </c>
      <c r="I239" s="117">
        <f t="shared" si="14"/>
        <v>350000</v>
      </c>
    </row>
    <row r="240" spans="1:9">
      <c r="A240" s="119">
        <v>151</v>
      </c>
      <c r="B240" s="119">
        <v>48</v>
      </c>
      <c r="C240" s="130" t="s">
        <v>224</v>
      </c>
      <c r="D240" s="106">
        <f>0</f>
        <v>0</v>
      </c>
      <c r="E240" s="106">
        <f>0</f>
        <v>0</v>
      </c>
      <c r="F240" s="117">
        <f t="shared" si="13"/>
        <v>0</v>
      </c>
      <c r="G240" s="106">
        <f>0</f>
        <v>0</v>
      </c>
      <c r="H240" s="106">
        <f>0</f>
        <v>0</v>
      </c>
      <c r="I240" s="117">
        <f t="shared" si="14"/>
        <v>0</v>
      </c>
    </row>
    <row r="241" spans="1:9">
      <c r="A241" s="119">
        <v>152</v>
      </c>
      <c r="B241" s="119">
        <v>49</v>
      </c>
      <c r="C241" s="131" t="s">
        <v>225</v>
      </c>
      <c r="D241" s="106">
        <v>860000</v>
      </c>
      <c r="E241" s="106">
        <f>0</f>
        <v>0</v>
      </c>
      <c r="F241" s="117">
        <f t="shared" si="13"/>
        <v>860000</v>
      </c>
      <c r="G241" s="106">
        <v>860000</v>
      </c>
      <c r="H241" s="106">
        <f>0</f>
        <v>0</v>
      </c>
      <c r="I241" s="117">
        <f t="shared" si="14"/>
        <v>860000</v>
      </c>
    </row>
    <row r="242" spans="1:9">
      <c r="A242" s="132" t="s">
        <v>58</v>
      </c>
      <c r="B242" s="132"/>
      <c r="C242" s="132"/>
      <c r="D242" s="110">
        <f>SUM(D193:D241)</f>
        <v>3414200</v>
      </c>
      <c r="E242" s="110">
        <f>SUM(E193:E241)</f>
        <v>2217701</v>
      </c>
      <c r="F242" s="110">
        <f>SUM(D242:E242)</f>
        <v>5631901</v>
      </c>
      <c r="G242" s="110">
        <f>SUM(G193:G241)</f>
        <v>6692051</v>
      </c>
      <c r="H242" s="110">
        <f>SUM(H193:H241)</f>
        <v>3703700</v>
      </c>
      <c r="I242" s="110">
        <f>SUM(G242:H242)</f>
        <v>10395751</v>
      </c>
    </row>
    <row r="243" spans="1:9">
      <c r="A243" s="108" t="s">
        <v>226</v>
      </c>
      <c r="B243" s="109"/>
      <c r="C243" s="109"/>
      <c r="D243" s="109"/>
      <c r="E243" s="109"/>
      <c r="F243" s="109"/>
      <c r="G243" s="109"/>
      <c r="H243" s="109"/>
      <c r="I243" s="113"/>
    </row>
    <row r="244" spans="1:9">
      <c r="A244" s="119">
        <v>153</v>
      </c>
      <c r="B244" s="119">
        <v>1</v>
      </c>
      <c r="C244" s="125" t="s">
        <v>227</v>
      </c>
      <c r="D244" s="106">
        <v>1058210</v>
      </c>
      <c r="E244" s="106">
        <v>70000</v>
      </c>
      <c r="F244" s="117">
        <f>SUM(D244:E244)</f>
        <v>1128210</v>
      </c>
      <c r="G244" s="106">
        <v>1244193</v>
      </c>
      <c r="H244" s="106">
        <v>35000</v>
      </c>
      <c r="I244" s="117">
        <f>SUM(G244:H244)</f>
        <v>1279193</v>
      </c>
    </row>
    <row r="245" spans="1:9">
      <c r="A245" s="108" t="s">
        <v>101</v>
      </c>
      <c r="B245" s="109"/>
      <c r="C245" s="109"/>
      <c r="D245" s="110">
        <f>D244</f>
        <v>1058210</v>
      </c>
      <c r="E245" s="110">
        <f>E244</f>
        <v>70000</v>
      </c>
      <c r="F245" s="110">
        <f>SUM(D245:E245)</f>
        <v>1128210</v>
      </c>
      <c r="G245" s="110">
        <f>G244</f>
        <v>1244193</v>
      </c>
      <c r="H245" s="110">
        <f>H244</f>
        <v>35000</v>
      </c>
      <c r="I245" s="110">
        <f>SUM(G245:H245)</f>
        <v>1279193</v>
      </c>
    </row>
    <row r="246" spans="1:9">
      <c r="A246" s="108" t="s">
        <v>228</v>
      </c>
      <c r="B246" s="109"/>
      <c r="C246" s="109"/>
      <c r="D246" s="109"/>
      <c r="E246" s="109"/>
      <c r="F246" s="109"/>
      <c r="G246" s="109"/>
      <c r="H246" s="109"/>
      <c r="I246" s="113"/>
    </row>
    <row r="247" spans="1:9">
      <c r="A247" s="119">
        <v>154</v>
      </c>
      <c r="B247" s="119">
        <v>1</v>
      </c>
      <c r="C247" s="133" t="s">
        <v>229</v>
      </c>
      <c r="D247" s="106">
        <f>0</f>
        <v>0</v>
      </c>
      <c r="E247" s="134">
        <f>0</f>
        <v>0</v>
      </c>
      <c r="F247" s="117">
        <f>SUM(D247:E247)</f>
        <v>0</v>
      </c>
      <c r="G247" s="106">
        <f>0</f>
        <v>0</v>
      </c>
      <c r="H247" s="134">
        <f>0</f>
        <v>0</v>
      </c>
      <c r="I247" s="117">
        <f>SUM(G247:H247)</f>
        <v>0</v>
      </c>
    </row>
    <row r="248" spans="1:9">
      <c r="A248" s="108" t="s">
        <v>101</v>
      </c>
      <c r="B248" s="109"/>
      <c r="C248" s="109"/>
      <c r="D248" s="110">
        <f>D247</f>
        <v>0</v>
      </c>
      <c r="E248" s="110">
        <f>E247</f>
        <v>0</v>
      </c>
      <c r="F248" s="110">
        <f>SUM(D248:E248)</f>
        <v>0</v>
      </c>
      <c r="G248" s="110">
        <f>G247</f>
        <v>0</v>
      </c>
      <c r="H248" s="110">
        <f>H247</f>
        <v>0</v>
      </c>
      <c r="I248" s="110">
        <f>SUM(G248:H248)</f>
        <v>0</v>
      </c>
    </row>
    <row r="249" spans="1:9">
      <c r="A249" s="108" t="s">
        <v>230</v>
      </c>
      <c r="B249" s="109"/>
      <c r="C249" s="109"/>
      <c r="D249" s="109"/>
      <c r="E249" s="109"/>
      <c r="F249" s="109"/>
      <c r="G249" s="109"/>
      <c r="H249" s="109"/>
      <c r="I249" s="113"/>
    </row>
    <row r="250" spans="1:9" s="189" customFormat="1">
      <c r="A250" s="186">
        <v>155</v>
      </c>
      <c r="B250" s="186">
        <v>1</v>
      </c>
      <c r="C250" s="228" t="s">
        <v>231</v>
      </c>
      <c r="D250" s="187">
        <f>0</f>
        <v>0</v>
      </c>
      <c r="E250" s="187">
        <f>0</f>
        <v>0</v>
      </c>
      <c r="F250" s="188">
        <f>SUM(D250:E250)</f>
        <v>0</v>
      </c>
      <c r="G250" s="187">
        <f>0</f>
        <v>0</v>
      </c>
      <c r="H250" s="187">
        <f>0</f>
        <v>0</v>
      </c>
      <c r="I250" s="188">
        <f>SUM(G250:H250)</f>
        <v>0</v>
      </c>
    </row>
    <row r="251" spans="1:9" s="189" customFormat="1">
      <c r="A251" s="186">
        <v>156</v>
      </c>
      <c r="B251" s="186">
        <v>2</v>
      </c>
      <c r="C251" s="228" t="s">
        <v>232</v>
      </c>
      <c r="D251" s="187">
        <f>0</f>
        <v>0</v>
      </c>
      <c r="E251" s="187">
        <v>1055620</v>
      </c>
      <c r="F251" s="188">
        <f t="shared" ref="F251:F261" si="15">SUM(D251:E251)</f>
        <v>1055620</v>
      </c>
      <c r="G251" s="187">
        <f>0</f>
        <v>0</v>
      </c>
      <c r="H251" s="187">
        <f>1063050+869750</f>
        <v>1932800</v>
      </c>
      <c r="I251" s="188">
        <f t="shared" ref="I251:I261" si="16">SUM(G251:H251)</f>
        <v>1932800</v>
      </c>
    </row>
    <row r="252" spans="1:9" s="189" customFormat="1">
      <c r="A252" s="186">
        <v>157</v>
      </c>
      <c r="B252" s="186">
        <v>3</v>
      </c>
      <c r="C252" s="229" t="s">
        <v>307</v>
      </c>
      <c r="D252" s="187"/>
      <c r="E252" s="187"/>
      <c r="F252" s="188"/>
      <c r="G252" s="187">
        <v>2396389</v>
      </c>
      <c r="H252" s="187">
        <f>0</f>
        <v>0</v>
      </c>
      <c r="I252" s="188">
        <f t="shared" si="16"/>
        <v>2396389</v>
      </c>
    </row>
    <row r="253" spans="1:9" s="189" customFormat="1">
      <c r="A253" s="186">
        <v>158</v>
      </c>
      <c r="B253" s="186">
        <v>4</v>
      </c>
      <c r="C253" s="135" t="s">
        <v>233</v>
      </c>
      <c r="D253" s="187">
        <f>450000+300000+700000</f>
        <v>1450000</v>
      </c>
      <c r="E253" s="187">
        <f>50000+200000+100000+100000+100000</f>
        <v>550000</v>
      </c>
      <c r="F253" s="188">
        <f t="shared" si="15"/>
        <v>2000000</v>
      </c>
      <c r="G253" s="187">
        <f>400000+230000+1500000</f>
        <v>2130000</v>
      </c>
      <c r="H253" s="187">
        <f>0</f>
        <v>0</v>
      </c>
      <c r="I253" s="188">
        <f t="shared" si="16"/>
        <v>2130000</v>
      </c>
    </row>
    <row r="254" spans="1:9" s="189" customFormat="1">
      <c r="A254" s="186">
        <v>159</v>
      </c>
      <c r="B254" s="186">
        <v>5</v>
      </c>
      <c r="C254" s="135" t="s">
        <v>234</v>
      </c>
      <c r="D254" s="187">
        <v>120000</v>
      </c>
      <c r="E254" s="187">
        <f>0</f>
        <v>0</v>
      </c>
      <c r="F254" s="188">
        <f t="shared" si="15"/>
        <v>120000</v>
      </c>
      <c r="G254" s="187">
        <v>120000</v>
      </c>
      <c r="H254" s="187">
        <f>0</f>
        <v>0</v>
      </c>
      <c r="I254" s="188">
        <f t="shared" si="16"/>
        <v>120000</v>
      </c>
    </row>
    <row r="255" spans="1:9" s="189" customFormat="1">
      <c r="A255" s="186">
        <v>160</v>
      </c>
      <c r="B255" s="186">
        <v>6</v>
      </c>
      <c r="C255" s="135" t="s">
        <v>235</v>
      </c>
      <c r="D255" s="187">
        <v>30000</v>
      </c>
      <c r="E255" s="187">
        <f>0</f>
        <v>0</v>
      </c>
      <c r="F255" s="188">
        <f t="shared" si="15"/>
        <v>30000</v>
      </c>
      <c r="G255" s="187">
        <f>0</f>
        <v>0</v>
      </c>
      <c r="H255" s="187">
        <f>0</f>
        <v>0</v>
      </c>
      <c r="I255" s="188">
        <f t="shared" si="16"/>
        <v>0</v>
      </c>
    </row>
    <row r="256" spans="1:9" s="189" customFormat="1">
      <c r="A256" s="186">
        <v>161</v>
      </c>
      <c r="B256" s="186">
        <v>7</v>
      </c>
      <c r="C256" s="136" t="s">
        <v>246</v>
      </c>
      <c r="D256" s="187">
        <v>100000</v>
      </c>
      <c r="E256" s="187">
        <f>0</f>
        <v>0</v>
      </c>
      <c r="F256" s="188">
        <f t="shared" si="15"/>
        <v>100000</v>
      </c>
      <c r="G256" s="187">
        <f>0</f>
        <v>0</v>
      </c>
      <c r="H256" s="187">
        <f>0</f>
        <v>0</v>
      </c>
      <c r="I256" s="188">
        <f t="shared" si="16"/>
        <v>0</v>
      </c>
    </row>
    <row r="257" spans="1:9" s="189" customFormat="1">
      <c r="A257" s="186">
        <v>162</v>
      </c>
      <c r="B257" s="186">
        <v>8</v>
      </c>
      <c r="C257" s="136" t="s">
        <v>248</v>
      </c>
      <c r="D257" s="187">
        <f>0</f>
        <v>0</v>
      </c>
      <c r="E257" s="187">
        <f>0</f>
        <v>0</v>
      </c>
      <c r="F257" s="188">
        <f t="shared" si="15"/>
        <v>0</v>
      </c>
      <c r="G257" s="187">
        <v>200000</v>
      </c>
      <c r="H257" s="187">
        <f>0</f>
        <v>0</v>
      </c>
      <c r="I257" s="188">
        <f t="shared" si="16"/>
        <v>200000</v>
      </c>
    </row>
    <row r="258" spans="1:9" s="189" customFormat="1">
      <c r="A258" s="186">
        <v>163</v>
      </c>
      <c r="B258" s="186">
        <v>9</v>
      </c>
      <c r="C258" s="135" t="s">
        <v>282</v>
      </c>
      <c r="D258" s="187">
        <v>75000</v>
      </c>
      <c r="E258" s="187">
        <f>0</f>
        <v>0</v>
      </c>
      <c r="F258" s="188">
        <f t="shared" si="15"/>
        <v>75000</v>
      </c>
      <c r="G258" s="187">
        <f>0</f>
        <v>0</v>
      </c>
      <c r="H258" s="187">
        <f>0</f>
        <v>0</v>
      </c>
      <c r="I258" s="188">
        <f t="shared" si="16"/>
        <v>0</v>
      </c>
    </row>
    <row r="259" spans="1:9" s="189" customFormat="1">
      <c r="A259" s="186">
        <v>164</v>
      </c>
      <c r="B259" s="186">
        <v>10</v>
      </c>
      <c r="C259" s="135" t="s">
        <v>283</v>
      </c>
      <c r="D259" s="187">
        <v>500000</v>
      </c>
      <c r="E259" s="187">
        <f>0</f>
        <v>0</v>
      </c>
      <c r="F259" s="188">
        <f t="shared" si="15"/>
        <v>500000</v>
      </c>
      <c r="G259" s="187">
        <f>0</f>
        <v>0</v>
      </c>
      <c r="H259" s="187">
        <f>0</f>
        <v>0</v>
      </c>
      <c r="I259" s="188">
        <f t="shared" si="16"/>
        <v>0</v>
      </c>
    </row>
    <row r="260" spans="1:9" s="189" customFormat="1">
      <c r="A260" s="186">
        <v>165</v>
      </c>
      <c r="B260" s="186">
        <v>11</v>
      </c>
      <c r="C260" s="135" t="s">
        <v>308</v>
      </c>
      <c r="D260" s="187"/>
      <c r="E260" s="187"/>
      <c r="F260" s="188"/>
      <c r="G260" s="187">
        <v>1900000</v>
      </c>
      <c r="H260" s="187"/>
      <c r="I260" s="188"/>
    </row>
    <row r="261" spans="1:9" s="189" customFormat="1">
      <c r="A261" s="186">
        <v>166</v>
      </c>
      <c r="B261" s="186">
        <v>12</v>
      </c>
      <c r="C261" s="135" t="s">
        <v>252</v>
      </c>
      <c r="D261" s="187">
        <f>0</f>
        <v>0</v>
      </c>
      <c r="E261" s="187">
        <f>0</f>
        <v>0</v>
      </c>
      <c r="F261" s="188">
        <f t="shared" si="15"/>
        <v>0</v>
      </c>
      <c r="G261" s="187">
        <f>0</f>
        <v>0</v>
      </c>
      <c r="H261" s="187">
        <f>0</f>
        <v>0</v>
      </c>
      <c r="I261" s="188">
        <f t="shared" si="16"/>
        <v>0</v>
      </c>
    </row>
    <row r="262" spans="1:9" ht="15.75" thickBot="1">
      <c r="A262" s="137" t="s">
        <v>101</v>
      </c>
      <c r="B262" s="138"/>
      <c r="C262" s="139"/>
      <c r="D262" s="140">
        <f>SUM(D250:D261)</f>
        <v>2275000</v>
      </c>
      <c r="E262" s="140">
        <f>SUM(E250:E261)</f>
        <v>1605620</v>
      </c>
      <c r="F262" s="140">
        <f>SUM(D262:E262)</f>
        <v>3880620</v>
      </c>
      <c r="G262" s="140">
        <f>SUM(G250:G261)</f>
        <v>6746389</v>
      </c>
      <c r="H262" s="140">
        <f>SUM(H250:H261)</f>
        <v>1932800</v>
      </c>
      <c r="I262" s="140">
        <f>SUM(G262:H262)</f>
        <v>8679189</v>
      </c>
    </row>
    <row r="263" spans="1:9" ht="16.5" thickTop="1" thickBot="1">
      <c r="A263" s="141" t="s">
        <v>253</v>
      </c>
      <c r="B263" s="142"/>
      <c r="C263" s="142"/>
      <c r="D263" s="143">
        <f>D262+D248+D245+D242+D191+D166+D144+D122+D119+D116+D110+D99+D83+D71</f>
        <v>106058686</v>
      </c>
      <c r="E263" s="143">
        <f>E262+E248+E245+E242+E191+E166+E144+E122+E119+E116+E110+E99+E83+E71</f>
        <v>44157494</v>
      </c>
      <c r="F263" s="143">
        <f>SUM(D263:E263)</f>
        <v>150216180</v>
      </c>
      <c r="G263" s="143">
        <f>G262+G248+G245+G242+G191+G166+G144+G122+G119+G116+G110+G99+G83+G71</f>
        <v>124806952</v>
      </c>
      <c r="H263" s="143">
        <f>H262+H248+H245+H242+H191+H166+H144+H122+H119+H116+H110+H99+H83+H71</f>
        <v>44613251</v>
      </c>
      <c r="I263" s="143">
        <f>SUM(G263:H263)</f>
        <v>169420203</v>
      </c>
    </row>
    <row r="264" spans="1:9" ht="15.75" thickTop="1">
      <c r="A264" s="144"/>
      <c r="B264" s="145"/>
      <c r="C264" s="145"/>
      <c r="D264" s="145"/>
      <c r="E264" s="145"/>
      <c r="F264" s="145"/>
      <c r="G264" s="145"/>
      <c r="H264" s="145"/>
      <c r="I264" s="145"/>
    </row>
    <row r="265" spans="1:9">
      <c r="A265" s="146" t="s">
        <v>254</v>
      </c>
      <c r="B265" s="146"/>
      <c r="C265" s="146"/>
      <c r="D265" s="146"/>
      <c r="E265" s="146"/>
      <c r="F265" s="146"/>
      <c r="G265" s="146"/>
      <c r="H265" s="146"/>
      <c r="I265" s="146"/>
    </row>
    <row r="266" spans="1:9">
      <c r="A266" s="144"/>
      <c r="B266" s="147" t="s">
        <v>309</v>
      </c>
      <c r="C266" s="147"/>
      <c r="D266" s="147"/>
      <c r="E266" s="147"/>
      <c r="F266" s="147"/>
      <c r="G266" s="147"/>
      <c r="H266" s="147"/>
      <c r="I266" s="147"/>
    </row>
    <row r="267" spans="1:9">
      <c r="A267" s="148" t="s">
        <v>256</v>
      </c>
      <c r="B267" s="149" t="s">
        <v>23</v>
      </c>
      <c r="C267" s="150" t="s">
        <v>24</v>
      </c>
      <c r="D267" s="151"/>
      <c r="E267" s="151"/>
      <c r="F267" s="151"/>
      <c r="G267" s="151"/>
      <c r="H267" s="152"/>
      <c r="I267" s="153" t="s">
        <v>101</v>
      </c>
    </row>
    <row r="268" spans="1:9">
      <c r="A268" s="144"/>
      <c r="B268" s="154"/>
      <c r="C268" s="155"/>
      <c r="D268" s="156"/>
      <c r="E268" s="156"/>
      <c r="F268" s="156"/>
      <c r="G268" s="156"/>
      <c r="H268" s="157"/>
      <c r="I268" s="153" t="s">
        <v>257</v>
      </c>
    </row>
    <row r="269" spans="1:9">
      <c r="A269" s="144"/>
      <c r="B269" s="158"/>
      <c r="C269" s="159" t="s">
        <v>258</v>
      </c>
      <c r="D269" s="160"/>
      <c r="E269" s="160"/>
      <c r="F269" s="160"/>
      <c r="G269" s="160"/>
      <c r="H269" s="161"/>
      <c r="I269" s="162"/>
    </row>
    <row r="270" spans="1:9">
      <c r="A270" s="144"/>
      <c r="B270" s="163">
        <v>1</v>
      </c>
      <c r="C270" s="190" t="s">
        <v>310</v>
      </c>
      <c r="D270" s="191"/>
      <c r="E270" s="191"/>
      <c r="F270" s="191"/>
      <c r="G270" s="191"/>
      <c r="H270" s="192"/>
      <c r="I270" s="167">
        <v>6260000</v>
      </c>
    </row>
    <row r="271" spans="1:9">
      <c r="A271" s="144"/>
      <c r="B271" s="163">
        <v>2</v>
      </c>
      <c r="C271" s="190" t="s">
        <v>311</v>
      </c>
      <c r="D271" s="191"/>
      <c r="E271" s="191"/>
      <c r="F271" s="191"/>
      <c r="G271" s="191"/>
      <c r="H271" s="192"/>
      <c r="I271" s="167">
        <v>45000000</v>
      </c>
    </row>
    <row r="272" spans="1:9">
      <c r="A272" s="144"/>
      <c r="B272" s="163">
        <v>3</v>
      </c>
      <c r="C272" s="190" t="s">
        <v>312</v>
      </c>
      <c r="D272" s="191"/>
      <c r="E272" s="191"/>
      <c r="F272" s="191"/>
      <c r="G272" s="191"/>
      <c r="H272" s="192"/>
      <c r="I272" s="167">
        <f>500000+1000000+750000</f>
        <v>2250000</v>
      </c>
    </row>
    <row r="273" spans="1:9">
      <c r="A273" s="144"/>
      <c r="B273" s="163">
        <v>4</v>
      </c>
      <c r="C273" s="190" t="s">
        <v>313</v>
      </c>
      <c r="D273" s="191"/>
      <c r="E273" s="191"/>
      <c r="F273" s="191"/>
      <c r="G273" s="191"/>
      <c r="H273" s="192"/>
      <c r="I273" s="167">
        <v>5000000</v>
      </c>
    </row>
    <row r="274" spans="1:9">
      <c r="A274" s="144"/>
      <c r="B274" s="163">
        <v>5</v>
      </c>
      <c r="C274" s="190" t="s">
        <v>314</v>
      </c>
      <c r="D274" s="191"/>
      <c r="E274" s="191"/>
      <c r="F274" s="191"/>
      <c r="G274" s="191"/>
      <c r="H274" s="192"/>
      <c r="I274" s="167">
        <v>20000000</v>
      </c>
    </row>
    <row r="275" spans="1:9">
      <c r="A275" s="144"/>
      <c r="B275" s="163">
        <v>6</v>
      </c>
      <c r="C275" s="190" t="s">
        <v>315</v>
      </c>
      <c r="D275" s="191"/>
      <c r="E275" s="191"/>
      <c r="F275" s="191"/>
      <c r="G275" s="191"/>
      <c r="H275" s="192"/>
      <c r="I275" s="167"/>
    </row>
    <row r="276" spans="1:9">
      <c r="A276" s="144"/>
      <c r="B276" s="163"/>
      <c r="C276" s="190" t="s">
        <v>316</v>
      </c>
      <c r="D276" s="191"/>
      <c r="E276" s="191"/>
      <c r="F276" s="191"/>
      <c r="G276" s="191"/>
      <c r="H276" s="192"/>
      <c r="I276" s="167">
        <v>72500000</v>
      </c>
    </row>
    <row r="277" spans="1:9">
      <c r="A277" s="144"/>
      <c r="B277" s="163"/>
      <c r="C277" s="190" t="s">
        <v>317</v>
      </c>
      <c r="D277" s="191"/>
      <c r="E277" s="191"/>
      <c r="F277" s="191"/>
      <c r="G277" s="191"/>
      <c r="H277" s="192"/>
      <c r="I277" s="167">
        <v>47500000</v>
      </c>
    </row>
    <row r="278" spans="1:9">
      <c r="A278" s="144"/>
      <c r="B278" s="163">
        <v>7</v>
      </c>
      <c r="C278" s="190" t="s">
        <v>318</v>
      </c>
      <c r="D278" s="191"/>
      <c r="E278" s="191"/>
      <c r="F278" s="191"/>
      <c r="G278" s="191"/>
      <c r="H278" s="192"/>
      <c r="I278" s="167">
        <v>2400000</v>
      </c>
    </row>
    <row r="279" spans="1:9">
      <c r="A279" s="144"/>
      <c r="B279" s="163">
        <v>8</v>
      </c>
      <c r="C279" s="190" t="s">
        <v>319</v>
      </c>
      <c r="D279" s="191"/>
      <c r="E279" s="191"/>
      <c r="F279" s="191"/>
      <c r="G279" s="191"/>
      <c r="H279" s="192"/>
      <c r="I279" s="167">
        <v>15000000</v>
      </c>
    </row>
    <row r="280" spans="1:9">
      <c r="A280" s="144"/>
      <c r="B280" s="163">
        <v>9</v>
      </c>
      <c r="C280" s="190" t="s">
        <v>320</v>
      </c>
      <c r="D280" s="191"/>
      <c r="E280" s="191"/>
      <c r="F280" s="191"/>
      <c r="G280" s="191"/>
      <c r="H280" s="192"/>
      <c r="I280" s="167">
        <f>5000000+34900000+4350000+2900000</f>
        <v>47150000</v>
      </c>
    </row>
    <row r="281" spans="1:9">
      <c r="A281" s="144"/>
      <c r="B281" s="163">
        <v>10</v>
      </c>
      <c r="C281" s="164" t="s">
        <v>321</v>
      </c>
      <c r="D281" s="165"/>
      <c r="E281" s="165"/>
      <c r="F281" s="165"/>
      <c r="G281" s="165"/>
      <c r="H281" s="166"/>
      <c r="I281" s="167">
        <v>300000</v>
      </c>
    </row>
    <row r="282" spans="1:9">
      <c r="A282" s="144"/>
      <c r="B282" s="163">
        <v>11</v>
      </c>
      <c r="C282" s="200" t="s">
        <v>322</v>
      </c>
      <c r="D282" s="165"/>
      <c r="E282" s="165"/>
      <c r="F282" s="165"/>
      <c r="G282" s="165"/>
      <c r="H282" s="166"/>
      <c r="I282" s="167">
        <v>1645000</v>
      </c>
    </row>
    <row r="283" spans="1:9">
      <c r="A283" s="168"/>
      <c r="B283" s="169" t="s">
        <v>58</v>
      </c>
      <c r="C283" s="170"/>
      <c r="D283" s="170"/>
      <c r="E283" s="170"/>
      <c r="F283" s="170"/>
      <c r="G283" s="170"/>
      <c r="H283" s="171"/>
      <c r="I283" s="172">
        <f>SUM(I270:I282)</f>
        <v>265005000</v>
      </c>
    </row>
    <row r="284" spans="1:9">
      <c r="A284" s="145"/>
      <c r="B284" s="145"/>
      <c r="C284" s="145"/>
      <c r="D284" s="145"/>
      <c r="E284" s="145"/>
      <c r="F284" s="145"/>
      <c r="G284" s="145"/>
      <c r="H284" s="145"/>
      <c r="I284" s="145"/>
    </row>
    <row r="285" spans="1:9">
      <c r="A285" s="148" t="s">
        <v>260</v>
      </c>
      <c r="B285" s="149" t="s">
        <v>23</v>
      </c>
      <c r="C285" s="150" t="s">
        <v>24</v>
      </c>
      <c r="D285" s="151"/>
      <c r="E285" s="151"/>
      <c r="F285" s="151"/>
      <c r="G285" s="151"/>
      <c r="H285" s="152"/>
      <c r="I285" s="153" t="s">
        <v>101</v>
      </c>
    </row>
    <row r="286" spans="1:9">
      <c r="A286" s="145"/>
      <c r="B286" s="154"/>
      <c r="C286" s="155"/>
      <c r="D286" s="156"/>
      <c r="E286" s="156"/>
      <c r="F286" s="156"/>
      <c r="G286" s="156"/>
      <c r="H286" s="157"/>
      <c r="I286" s="153" t="s">
        <v>257</v>
      </c>
    </row>
    <row r="287" spans="1:9">
      <c r="A287" s="145"/>
      <c r="B287" s="158"/>
      <c r="C287" s="159" t="s">
        <v>261</v>
      </c>
      <c r="D287" s="160"/>
      <c r="E287" s="160"/>
      <c r="F287" s="160"/>
      <c r="G287" s="160"/>
      <c r="H287" s="161"/>
      <c r="I287" s="173"/>
    </row>
    <row r="288" spans="1:9">
      <c r="A288" s="145"/>
      <c r="B288" s="163">
        <v>1</v>
      </c>
      <c r="C288" s="174" t="s">
        <v>323</v>
      </c>
      <c r="D288" s="175"/>
      <c r="E288" s="175"/>
      <c r="F288" s="175"/>
      <c r="G288" s="175"/>
      <c r="H288" s="175"/>
      <c r="I288" s="173">
        <v>2157800</v>
      </c>
    </row>
    <row r="289" spans="1:9">
      <c r="A289" s="145"/>
      <c r="B289" s="163">
        <v>2</v>
      </c>
      <c r="C289" s="174" t="s">
        <v>324</v>
      </c>
      <c r="D289" s="177"/>
      <c r="E289" s="177"/>
      <c r="F289" s="177"/>
      <c r="G289" s="177"/>
      <c r="H289" s="177"/>
      <c r="I289" s="173">
        <v>1857277</v>
      </c>
    </row>
    <row r="290" spans="1:9">
      <c r="A290" s="145"/>
      <c r="B290" s="163">
        <v>3</v>
      </c>
      <c r="C290" s="174" t="s">
        <v>325</v>
      </c>
      <c r="D290" s="177"/>
      <c r="E290" s="177"/>
      <c r="F290" s="177"/>
      <c r="G290" s="177"/>
      <c r="H290" s="177"/>
      <c r="I290" s="173">
        <v>1312500</v>
      </c>
    </row>
    <row r="291" spans="1:9">
      <c r="A291" s="145"/>
      <c r="B291" s="163">
        <v>4</v>
      </c>
      <c r="C291" s="174" t="s">
        <v>326</v>
      </c>
      <c r="D291" s="177"/>
      <c r="E291" s="177"/>
      <c r="F291" s="177"/>
      <c r="G291" s="177"/>
      <c r="H291" s="177"/>
      <c r="I291" s="173">
        <f>3000000+3000000+1000000+300000+1000000+1500000+1000000+500000+1000000+500000+500000+750000+500000</f>
        <v>14550000</v>
      </c>
    </row>
    <row r="292" spans="1:9">
      <c r="A292" s="145"/>
      <c r="B292" s="163">
        <v>5</v>
      </c>
      <c r="C292" s="174" t="s">
        <v>327</v>
      </c>
      <c r="D292" s="177"/>
      <c r="E292" s="177"/>
      <c r="F292" s="177"/>
      <c r="G292" s="177"/>
      <c r="H292" s="177"/>
      <c r="I292" s="173">
        <f>3000000+7500000</f>
        <v>10500000</v>
      </c>
    </row>
    <row r="293" spans="1:9">
      <c r="A293" s="145"/>
      <c r="B293" s="163">
        <v>6</v>
      </c>
      <c r="C293" s="174" t="s">
        <v>328</v>
      </c>
      <c r="D293" s="177"/>
      <c r="E293" s="177"/>
      <c r="F293" s="177"/>
      <c r="G293" s="177"/>
      <c r="H293" s="177"/>
      <c r="I293" s="173">
        <f>2055000</f>
        <v>2055000</v>
      </c>
    </row>
    <row r="294" spans="1:9">
      <c r="A294" s="145"/>
      <c r="B294" s="163">
        <v>7</v>
      </c>
      <c r="C294" s="176" t="s">
        <v>329</v>
      </c>
      <c r="D294" s="177"/>
      <c r="E294" s="177"/>
      <c r="F294" s="177"/>
      <c r="G294" s="177"/>
      <c r="H294" s="177"/>
      <c r="I294" s="173">
        <v>166400</v>
      </c>
    </row>
    <row r="295" spans="1:9">
      <c r="A295" s="145"/>
      <c r="B295" s="163">
        <v>8</v>
      </c>
      <c r="C295" s="176" t="s">
        <v>330</v>
      </c>
      <c r="D295" s="177"/>
      <c r="E295" s="177"/>
      <c r="F295" s="177"/>
      <c r="G295" s="177"/>
      <c r="H295" s="177"/>
      <c r="I295" s="173">
        <v>341000</v>
      </c>
    </row>
    <row r="296" spans="1:9">
      <c r="A296" s="145"/>
      <c r="B296" s="163">
        <v>9</v>
      </c>
      <c r="C296" s="176" t="s">
        <v>331</v>
      </c>
      <c r="D296" s="177"/>
      <c r="E296" s="177"/>
      <c r="F296" s="177"/>
      <c r="G296" s="177"/>
      <c r="H296" s="177"/>
      <c r="I296" s="173">
        <v>500000</v>
      </c>
    </row>
    <row r="297" spans="1:9">
      <c r="A297" s="145"/>
      <c r="B297" s="163">
        <v>10</v>
      </c>
      <c r="C297" s="176" t="s">
        <v>259</v>
      </c>
      <c r="D297" s="177"/>
      <c r="E297" s="177"/>
      <c r="F297" s="177"/>
      <c r="G297" s="177"/>
      <c r="H297" s="177"/>
      <c r="I297" s="173">
        <v>1932800</v>
      </c>
    </row>
    <row r="298" spans="1:9">
      <c r="A298" s="168"/>
      <c r="B298" s="178" t="s">
        <v>58</v>
      </c>
      <c r="C298" s="179"/>
      <c r="D298" s="179"/>
      <c r="E298" s="179"/>
      <c r="F298" s="179"/>
      <c r="G298" s="179"/>
      <c r="H298" s="179"/>
      <c r="I298" s="172">
        <f>SUM(I288:I297)</f>
        <v>35372777</v>
      </c>
    </row>
    <row r="299" spans="1:9">
      <c r="A299" s="144"/>
      <c r="B299" s="144"/>
      <c r="C299" s="144"/>
      <c r="D299" s="144"/>
      <c r="E299" s="144"/>
      <c r="F299" s="144"/>
      <c r="G299" s="144"/>
      <c r="H299" s="144"/>
      <c r="I299" s="144" t="s">
        <v>265</v>
      </c>
    </row>
    <row r="300" spans="1:9">
      <c r="A300" s="144"/>
      <c r="B300" s="144"/>
      <c r="C300" s="144"/>
      <c r="D300" s="180"/>
      <c r="G300" s="180" t="s">
        <v>332</v>
      </c>
      <c r="H300" s="180"/>
    </row>
    <row r="301" spans="1:9">
      <c r="A301" s="144"/>
      <c r="B301" s="144"/>
      <c r="C301" s="180" t="s">
        <v>42</v>
      </c>
      <c r="D301" s="181"/>
      <c r="G301" s="180" t="s">
        <v>267</v>
      </c>
      <c r="H301" s="180"/>
    </row>
    <row r="302" spans="1:9">
      <c r="A302" s="144"/>
      <c r="B302" s="144"/>
      <c r="C302" s="144"/>
      <c r="D302" s="182"/>
      <c r="G302" s="144"/>
      <c r="H302" s="144"/>
    </row>
    <row r="303" spans="1:9">
      <c r="A303" s="144"/>
      <c r="B303" s="183"/>
      <c r="C303" s="184" t="s">
        <v>44</v>
      </c>
      <c r="D303" s="144"/>
      <c r="G303" s="184" t="s">
        <v>44</v>
      </c>
      <c r="H303" s="144"/>
    </row>
    <row r="304" spans="1:9">
      <c r="A304" s="144"/>
      <c r="B304" s="183"/>
      <c r="C304" s="180" t="s">
        <v>268</v>
      </c>
      <c r="D304" s="144"/>
      <c r="G304" s="185" t="s">
        <v>269</v>
      </c>
      <c r="H304" s="185"/>
    </row>
  </sheetData>
  <mergeCells count="63">
    <mergeCell ref="B283:H283"/>
    <mergeCell ref="B285:B286"/>
    <mergeCell ref="C285:H286"/>
    <mergeCell ref="C287:H287"/>
    <mergeCell ref="B298:H298"/>
    <mergeCell ref="A263:C263"/>
    <mergeCell ref="A265:I265"/>
    <mergeCell ref="B266:I266"/>
    <mergeCell ref="B267:B268"/>
    <mergeCell ref="C267:H268"/>
    <mergeCell ref="C269:H269"/>
    <mergeCell ref="A243:I243"/>
    <mergeCell ref="A245:C245"/>
    <mergeCell ref="A246:I246"/>
    <mergeCell ref="A248:C248"/>
    <mergeCell ref="A249:I249"/>
    <mergeCell ref="A262:C262"/>
    <mergeCell ref="A145:I145"/>
    <mergeCell ref="A166:C166"/>
    <mergeCell ref="A167:I167"/>
    <mergeCell ref="A191:C191"/>
    <mergeCell ref="A192:I192"/>
    <mergeCell ref="A242:C242"/>
    <mergeCell ref="A117:I117"/>
    <mergeCell ref="A119:C119"/>
    <mergeCell ref="A120:I120"/>
    <mergeCell ref="A122:C122"/>
    <mergeCell ref="A123:I123"/>
    <mergeCell ref="A144:C144"/>
    <mergeCell ref="A84:I84"/>
    <mergeCell ref="A99:C99"/>
    <mergeCell ref="A100:I100"/>
    <mergeCell ref="A110:C110"/>
    <mergeCell ref="A111:I111"/>
    <mergeCell ref="A116:C116"/>
    <mergeCell ref="D67:E67"/>
    <mergeCell ref="G67:H67"/>
    <mergeCell ref="A69:I69"/>
    <mergeCell ref="A71:C71"/>
    <mergeCell ref="A72:I72"/>
    <mergeCell ref="A83:C83"/>
    <mergeCell ref="E52:F52"/>
    <mergeCell ref="A62:I62"/>
    <mergeCell ref="A63:I63"/>
    <mergeCell ref="A64:I64"/>
    <mergeCell ref="A66:A68"/>
    <mergeCell ref="B66:C68"/>
    <mergeCell ref="D66:E66"/>
    <mergeCell ref="F66:F68"/>
    <mergeCell ref="G66:H66"/>
    <mergeCell ref="I66:I68"/>
    <mergeCell ref="A8:B8"/>
    <mergeCell ref="A9:B9"/>
    <mergeCell ref="A10:B10"/>
    <mergeCell ref="E23:F23"/>
    <mergeCell ref="E49:F49"/>
    <mergeCell ref="E51:F51"/>
    <mergeCell ref="A1:F1"/>
    <mergeCell ref="A2:F2"/>
    <mergeCell ref="A3:F3"/>
    <mergeCell ref="A4:F4"/>
    <mergeCell ref="A5:F5"/>
    <mergeCell ref="E7:F7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8"/>
  <sheetViews>
    <sheetView topLeftCell="A26" workbookViewId="0">
      <selection activeCell="I262" sqref="I262"/>
    </sheetView>
  </sheetViews>
  <sheetFormatPr defaultRowHeight="15"/>
  <cols>
    <col min="1" max="1" width="4.85546875" customWidth="1"/>
    <col min="2" max="2" width="5.28515625" customWidth="1"/>
    <col min="3" max="3" width="31.42578125" customWidth="1"/>
    <col min="4" max="4" width="18.7109375" customWidth="1"/>
    <col min="5" max="5" width="21.42578125" customWidth="1"/>
    <col min="6" max="6" width="18.7109375" customWidth="1"/>
    <col min="7" max="9" width="13.7109375" customWidth="1"/>
  </cols>
  <sheetData>
    <row r="1" spans="1:6" ht="33">
      <c r="A1" s="1" t="s">
        <v>0</v>
      </c>
      <c r="B1" s="1"/>
      <c r="C1" s="1"/>
      <c r="D1" s="1"/>
      <c r="E1" s="1"/>
      <c r="F1" s="1"/>
    </row>
    <row r="2" spans="1:6" ht="33">
      <c r="A2" s="2" t="s">
        <v>1</v>
      </c>
      <c r="B2" s="2"/>
      <c r="C2" s="2"/>
      <c r="D2" s="2"/>
      <c r="E2" s="2"/>
      <c r="F2" s="2"/>
    </row>
    <row r="3" spans="1:6" ht="33">
      <c r="A3" s="2" t="s">
        <v>2</v>
      </c>
      <c r="B3" s="2"/>
      <c r="C3" s="2"/>
      <c r="D3" s="2"/>
      <c r="E3" s="2"/>
      <c r="F3" s="2"/>
    </row>
    <row r="4" spans="1:6">
      <c r="A4" s="3" t="s">
        <v>3</v>
      </c>
      <c r="B4" s="3"/>
      <c r="C4" s="3"/>
      <c r="D4" s="3"/>
      <c r="E4" s="3"/>
      <c r="F4" s="3"/>
    </row>
    <row r="5" spans="1:6">
      <c r="A5" s="4" t="s">
        <v>4</v>
      </c>
      <c r="B5" s="4"/>
      <c r="C5" s="4"/>
      <c r="D5" s="4"/>
      <c r="E5" s="4"/>
      <c r="F5" s="4"/>
    </row>
    <row r="6" spans="1:6">
      <c r="A6" s="5"/>
      <c r="B6" s="5"/>
      <c r="C6" s="5"/>
      <c r="D6" s="5"/>
      <c r="E6" s="5"/>
      <c r="F6" s="5"/>
    </row>
    <row r="7" spans="1:6" ht="18.75">
      <c r="A7" s="6"/>
      <c r="B7" s="6"/>
      <c r="C7" s="6"/>
      <c r="D7" s="6"/>
      <c r="E7" s="7" t="s">
        <v>333</v>
      </c>
      <c r="F7" s="7"/>
    </row>
    <row r="8" spans="1:6" ht="18.75">
      <c r="A8" s="8" t="s">
        <v>6</v>
      </c>
      <c r="B8" s="8"/>
      <c r="C8" s="9" t="s">
        <v>334</v>
      </c>
      <c r="D8" s="10"/>
      <c r="E8" s="9"/>
      <c r="F8" s="10"/>
    </row>
    <row r="9" spans="1:6" ht="18.75">
      <c r="A9" s="8" t="s">
        <v>8</v>
      </c>
      <c r="B9" s="8"/>
      <c r="C9" s="9" t="s">
        <v>9</v>
      </c>
      <c r="D9" s="10"/>
      <c r="E9" s="9"/>
      <c r="F9" s="9"/>
    </row>
    <row r="10" spans="1:6" ht="18.75">
      <c r="A10" s="8" t="s">
        <v>10</v>
      </c>
      <c r="B10" s="8"/>
      <c r="C10" s="9" t="s">
        <v>11</v>
      </c>
      <c r="D10" s="10"/>
      <c r="E10" s="9"/>
      <c r="F10" s="9"/>
    </row>
    <row r="11" spans="1:6" ht="18.75">
      <c r="A11" s="9"/>
      <c r="B11" s="9"/>
      <c r="C11" s="9"/>
      <c r="D11" s="9"/>
      <c r="E11" s="9"/>
      <c r="F11" s="9"/>
    </row>
    <row r="12" spans="1:6" ht="18.75">
      <c r="A12" s="9"/>
      <c r="B12" s="9" t="s">
        <v>12</v>
      </c>
      <c r="C12" s="10"/>
      <c r="D12" s="10"/>
      <c r="E12" s="9"/>
      <c r="F12" s="9"/>
    </row>
    <row r="13" spans="1:6" ht="18.75">
      <c r="A13" s="9"/>
      <c r="B13" s="9" t="s">
        <v>13</v>
      </c>
      <c r="C13" s="10"/>
      <c r="D13" s="10"/>
      <c r="E13" s="9"/>
      <c r="F13" s="9"/>
    </row>
    <row r="14" spans="1:6" ht="18.75">
      <c r="A14" s="9"/>
      <c r="B14" s="9" t="s">
        <v>14</v>
      </c>
      <c r="C14" s="10"/>
      <c r="D14" s="10"/>
      <c r="E14" s="9"/>
      <c r="F14" s="9"/>
    </row>
    <row r="15" spans="1:6" ht="18.75">
      <c r="A15" s="9"/>
      <c r="B15" s="9" t="s">
        <v>15</v>
      </c>
      <c r="C15" s="10"/>
      <c r="D15" s="10"/>
      <c r="E15" s="9"/>
      <c r="F15" s="9"/>
    </row>
    <row r="16" spans="1:6" ht="18.75">
      <c r="A16" s="9"/>
      <c r="B16" s="9" t="s">
        <v>16</v>
      </c>
      <c r="C16" s="9"/>
      <c r="D16" s="10"/>
      <c r="E16" s="9"/>
      <c r="F16" s="9"/>
    </row>
    <row r="17" spans="1:6" ht="18.75">
      <c r="A17" s="9"/>
      <c r="B17" s="9" t="s">
        <v>17</v>
      </c>
      <c r="C17" s="9"/>
      <c r="D17" s="10"/>
      <c r="E17" s="9"/>
      <c r="F17" s="10"/>
    </row>
    <row r="18" spans="1:6" ht="18.75">
      <c r="A18" s="9"/>
      <c r="B18" s="9" t="s">
        <v>18</v>
      </c>
      <c r="C18" s="9"/>
      <c r="D18" s="10"/>
      <c r="E18" s="9"/>
      <c r="F18" s="9"/>
    </row>
    <row r="19" spans="1:6" ht="18.75">
      <c r="A19" s="9"/>
      <c r="B19" s="10"/>
      <c r="C19" s="9"/>
      <c r="D19" s="9"/>
      <c r="E19" s="9"/>
      <c r="F19" s="9"/>
    </row>
    <row r="20" spans="1:6" ht="19.5">
      <c r="A20" s="9"/>
      <c r="B20" s="11" t="s">
        <v>19</v>
      </c>
      <c r="C20" s="12"/>
      <c r="D20" s="12"/>
      <c r="E20" s="9"/>
      <c r="F20" s="10"/>
    </row>
    <row r="21" spans="1:6" ht="18.75">
      <c r="A21" s="9"/>
      <c r="B21" s="13" t="s">
        <v>20</v>
      </c>
      <c r="C21" s="13"/>
      <c r="D21" s="13"/>
      <c r="E21" s="13"/>
      <c r="F21" s="10"/>
    </row>
    <row r="22" spans="1:6" ht="18.75">
      <c r="A22" s="9"/>
      <c r="B22" s="13" t="s">
        <v>335</v>
      </c>
      <c r="C22" s="13"/>
      <c r="D22" s="13"/>
      <c r="E22" s="13"/>
      <c r="F22" s="10"/>
    </row>
    <row r="23" spans="1:6" ht="15.75">
      <c r="A23" s="14"/>
      <c r="B23" s="14"/>
      <c r="C23" s="14"/>
      <c r="D23" s="14"/>
      <c r="E23" s="15" t="s">
        <v>22</v>
      </c>
      <c r="F23" s="15"/>
    </row>
    <row r="24" spans="1:6" ht="18.75">
      <c r="A24" s="14"/>
      <c r="B24" s="16" t="s">
        <v>23</v>
      </c>
      <c r="C24" s="16" t="s">
        <v>24</v>
      </c>
      <c r="D24" s="17" t="s">
        <v>25</v>
      </c>
      <c r="E24" s="17" t="s">
        <v>26</v>
      </c>
      <c r="F24" s="17" t="s">
        <v>27</v>
      </c>
    </row>
    <row r="25" spans="1:6" ht="18.75">
      <c r="A25" s="14"/>
      <c r="B25" s="18"/>
      <c r="C25" s="18"/>
      <c r="D25" s="19"/>
      <c r="E25" s="19"/>
      <c r="F25" s="19"/>
    </row>
    <row r="26" spans="1:6" ht="15.75">
      <c r="A26" s="14"/>
      <c r="B26" s="20">
        <v>1</v>
      </c>
      <c r="C26" s="21" t="s">
        <v>28</v>
      </c>
      <c r="D26" s="22"/>
      <c r="E26" s="22"/>
      <c r="F26" s="23"/>
    </row>
    <row r="27" spans="1:6" ht="15.75">
      <c r="A27" s="14"/>
      <c r="B27" s="20"/>
      <c r="C27" s="21" t="s">
        <v>29</v>
      </c>
      <c r="D27" s="22"/>
      <c r="E27" s="22"/>
      <c r="F27" s="23"/>
    </row>
    <row r="28" spans="1:6" ht="15.75">
      <c r="A28" s="14"/>
      <c r="B28" s="24"/>
      <c r="C28" s="25" t="s">
        <v>336</v>
      </c>
      <c r="D28" s="26"/>
      <c r="E28" s="26"/>
      <c r="F28" s="26">
        <f>[5]MARET!F28</f>
        <v>1320779137</v>
      </c>
    </row>
    <row r="29" spans="1:6" ht="15.75">
      <c r="A29" s="14"/>
      <c r="B29" s="24"/>
      <c r="C29" s="25" t="s">
        <v>337</v>
      </c>
      <c r="D29" s="27">
        <f>[6]april!$G$204</f>
        <v>131172620</v>
      </c>
      <c r="E29" s="28"/>
      <c r="F29" s="26"/>
    </row>
    <row r="30" spans="1:6" ht="15.75">
      <c r="A30" s="14"/>
      <c r="B30" s="24"/>
      <c r="C30" s="25" t="s">
        <v>338</v>
      </c>
      <c r="D30" s="26"/>
      <c r="E30" s="29">
        <f>[6]april!$I$216</f>
        <v>35680000</v>
      </c>
      <c r="F30" s="26"/>
    </row>
    <row r="31" spans="1:6" ht="15.75">
      <c r="A31" s="14"/>
      <c r="B31" s="24"/>
      <c r="C31" s="30" t="s">
        <v>33</v>
      </c>
      <c r="D31" s="26"/>
      <c r="E31" s="29"/>
      <c r="F31" s="31">
        <f>F28+D29-E30</f>
        <v>1416271757</v>
      </c>
    </row>
    <row r="32" spans="1:6" ht="15.75">
      <c r="A32" s="14"/>
      <c r="B32" s="20"/>
      <c r="C32" s="32" t="s">
        <v>34</v>
      </c>
      <c r="D32" s="33"/>
      <c r="E32" s="33"/>
      <c r="F32" s="34"/>
    </row>
    <row r="33" spans="1:6" ht="15.75">
      <c r="A33" s="14"/>
      <c r="B33" s="24"/>
      <c r="C33" s="35" t="s">
        <v>336</v>
      </c>
      <c r="D33" s="29"/>
      <c r="E33" s="36"/>
      <c r="F33" s="37">
        <f>[5]JANUARI!F33</f>
        <v>2550000</v>
      </c>
    </row>
    <row r="34" spans="1:6" ht="15.75">
      <c r="A34" s="14"/>
      <c r="B34" s="24"/>
      <c r="C34" s="25" t="s">
        <v>337</v>
      </c>
      <c r="D34" s="37">
        <f>0</f>
        <v>0</v>
      </c>
      <c r="E34" s="36"/>
      <c r="F34" s="37"/>
    </row>
    <row r="35" spans="1:6" ht="15.75">
      <c r="A35" s="14"/>
      <c r="B35" s="24"/>
      <c r="C35" s="25" t="s">
        <v>338</v>
      </c>
      <c r="D35" s="29"/>
      <c r="E35" s="36">
        <f>0</f>
        <v>0</v>
      </c>
      <c r="F35" s="37"/>
    </row>
    <row r="36" spans="1:6" ht="15.75">
      <c r="A36" s="14"/>
      <c r="B36" s="24"/>
      <c r="C36" s="30" t="s">
        <v>33</v>
      </c>
      <c r="D36" s="38"/>
      <c r="E36" s="38"/>
      <c r="F36" s="31">
        <f>F33+D34-E35</f>
        <v>2550000</v>
      </c>
    </row>
    <row r="37" spans="1:6" ht="15.75">
      <c r="A37" s="14"/>
      <c r="B37" s="24"/>
      <c r="C37" s="30" t="s">
        <v>35</v>
      </c>
      <c r="D37" s="31">
        <f>D29+D34</f>
        <v>131172620</v>
      </c>
      <c r="E37" s="39">
        <f>E30+E35</f>
        <v>35680000</v>
      </c>
      <c r="F37" s="40">
        <f>F31+F36</f>
        <v>1418821757</v>
      </c>
    </row>
    <row r="38" spans="1:6" ht="15.75">
      <c r="A38" s="14"/>
      <c r="B38" s="20">
        <v>2</v>
      </c>
      <c r="C38" s="32" t="s">
        <v>36</v>
      </c>
      <c r="D38" s="33"/>
      <c r="E38" s="41"/>
      <c r="F38" s="42"/>
    </row>
    <row r="39" spans="1:6" ht="15.75">
      <c r="A39" s="14"/>
      <c r="B39" s="20"/>
      <c r="C39" s="32" t="s">
        <v>29</v>
      </c>
      <c r="D39" s="33"/>
      <c r="E39" s="41"/>
      <c r="F39" s="42"/>
    </row>
    <row r="40" spans="1:6" ht="15.75">
      <c r="A40" s="43"/>
      <c r="B40" s="24"/>
      <c r="C40" s="25" t="s">
        <v>336</v>
      </c>
      <c r="D40" s="26"/>
      <c r="E40" s="44"/>
      <c r="F40" s="39">
        <f>[5]MARET!F40</f>
        <v>942618312</v>
      </c>
    </row>
    <row r="41" spans="1:6" ht="15.75">
      <c r="A41" s="45"/>
      <c r="B41" s="24"/>
      <c r="C41" s="25" t="s">
        <v>337</v>
      </c>
      <c r="D41" s="46">
        <f>[6]april!$H$204</f>
        <v>44131049</v>
      </c>
      <c r="E41" s="47"/>
      <c r="F41" s="44"/>
    </row>
    <row r="42" spans="1:6" ht="15.75">
      <c r="A42" s="14"/>
      <c r="B42" s="24"/>
      <c r="C42" s="25" t="s">
        <v>338</v>
      </c>
      <c r="D42" s="28"/>
      <c r="E42" s="48">
        <f>[6]april!$I$230</f>
        <v>7503263</v>
      </c>
      <c r="F42" s="44"/>
    </row>
    <row r="43" spans="1:6" ht="15.75">
      <c r="A43" s="14"/>
      <c r="B43" s="20"/>
      <c r="C43" s="49" t="s">
        <v>37</v>
      </c>
      <c r="D43" s="38"/>
      <c r="E43" s="50"/>
      <c r="F43" s="51">
        <f>F40+D41-E42</f>
        <v>979246098</v>
      </c>
    </row>
    <row r="44" spans="1:6" ht="15.75">
      <c r="A44" s="14"/>
      <c r="B44" s="24"/>
      <c r="C44" s="52" t="s">
        <v>339</v>
      </c>
      <c r="D44" s="53">
        <f>D29+D41</f>
        <v>175303669</v>
      </c>
      <c r="E44" s="53">
        <f>E30+E42</f>
        <v>43183263</v>
      </c>
      <c r="F44" s="31">
        <f>F37+F43</f>
        <v>2398067855</v>
      </c>
    </row>
    <row r="45" spans="1:6" ht="15.75">
      <c r="B45" s="54" t="s">
        <v>340</v>
      </c>
      <c r="C45" s="54"/>
      <c r="D45" s="54"/>
      <c r="E45" s="54"/>
      <c r="F45" s="54"/>
    </row>
    <row r="46" spans="1:6" ht="18.75">
      <c r="A46" s="55"/>
      <c r="B46" s="201" t="s">
        <v>341</v>
      </c>
      <c r="C46" s="10"/>
      <c r="D46" s="57"/>
      <c r="E46" s="10"/>
      <c r="F46" s="58"/>
    </row>
    <row r="47" spans="1:6" ht="18.75">
      <c r="A47" s="55"/>
      <c r="B47" s="201" t="s">
        <v>342</v>
      </c>
      <c r="C47" s="10"/>
      <c r="D47" s="57"/>
      <c r="E47" s="10"/>
      <c r="F47" s="58"/>
    </row>
    <row r="48" spans="1:6" ht="18.75">
      <c r="A48" s="55"/>
      <c r="B48" s="201" t="s">
        <v>343</v>
      </c>
      <c r="C48" s="10"/>
      <c r="D48" s="57"/>
      <c r="E48" s="10"/>
      <c r="F48" s="58"/>
    </row>
    <row r="49" spans="1:9" ht="18.75">
      <c r="A49" s="14"/>
      <c r="B49" s="10"/>
      <c r="C49" s="60" t="s">
        <v>40</v>
      </c>
      <c r="D49" s="61"/>
      <c r="E49" s="60"/>
      <c r="F49" s="58"/>
    </row>
    <row r="50" spans="1:9" ht="19.5">
      <c r="A50" s="62"/>
      <c r="B50" s="10"/>
      <c r="C50" s="63" t="s">
        <v>41</v>
      </c>
      <c r="D50" s="64"/>
      <c r="E50" s="65"/>
      <c r="F50" s="66"/>
    </row>
    <row r="51" spans="1:9" ht="18.75">
      <c r="A51" s="62"/>
      <c r="B51" s="66"/>
      <c r="C51" s="67" t="s">
        <v>42</v>
      </c>
      <c r="E51" s="69" t="s">
        <v>43</v>
      </c>
      <c r="F51" s="69"/>
    </row>
    <row r="52" spans="1:9" ht="18.75">
      <c r="A52" s="62"/>
      <c r="B52" s="66"/>
      <c r="C52" s="67"/>
      <c r="E52" s="69"/>
      <c r="F52" s="69"/>
    </row>
    <row r="53" spans="1:9" ht="18.75">
      <c r="A53" s="62"/>
      <c r="B53" s="66"/>
      <c r="C53" s="70" t="s">
        <v>344</v>
      </c>
      <c r="D53" s="193"/>
      <c r="E53" s="202" t="s">
        <v>344</v>
      </c>
      <c r="F53" s="58"/>
    </row>
    <row r="54" spans="1:9" ht="18.75">
      <c r="A54" s="62"/>
      <c r="B54" s="66"/>
      <c r="C54" s="73" t="s">
        <v>45</v>
      </c>
      <c r="E54" s="203" t="s">
        <v>46</v>
      </c>
      <c r="F54" s="203"/>
    </row>
    <row r="55" spans="1:9" ht="18.75">
      <c r="A55" s="59"/>
      <c r="B55" s="76" t="s">
        <v>47</v>
      </c>
      <c r="C55" s="9"/>
      <c r="D55" s="64"/>
      <c r="E55" s="66"/>
      <c r="F55" s="66"/>
    </row>
    <row r="56" spans="1:9" ht="18.75">
      <c r="A56" s="59"/>
      <c r="B56" s="9" t="s">
        <v>48</v>
      </c>
      <c r="C56" s="9"/>
      <c r="D56" s="204"/>
      <c r="E56" s="66"/>
      <c r="F56" s="66"/>
    </row>
    <row r="57" spans="1:9" ht="18.75">
      <c r="A57" s="59"/>
      <c r="B57" s="9" t="s">
        <v>49</v>
      </c>
      <c r="C57" s="9"/>
      <c r="D57" s="9"/>
      <c r="E57" s="66"/>
      <c r="F57" s="66"/>
    </row>
    <row r="58" spans="1:9" ht="18.75">
      <c r="A58" s="59"/>
      <c r="B58" s="9" t="s">
        <v>50</v>
      </c>
      <c r="C58" s="9"/>
      <c r="D58" s="9"/>
      <c r="E58" s="66"/>
      <c r="F58" s="66"/>
    </row>
    <row r="59" spans="1:9" ht="18.75">
      <c r="A59" s="59"/>
      <c r="B59" s="9" t="s">
        <v>51</v>
      </c>
      <c r="C59" s="9"/>
      <c r="D59" s="9"/>
      <c r="E59" s="66"/>
      <c r="F59" s="66"/>
    </row>
    <row r="61" spans="1:9" ht="18.75">
      <c r="A61" s="80" t="s">
        <v>52</v>
      </c>
    </row>
    <row r="63" spans="1:9" ht="22.5">
      <c r="A63" s="81" t="s">
        <v>53</v>
      </c>
      <c r="B63" s="81"/>
      <c r="C63" s="81"/>
      <c r="D63" s="81"/>
      <c r="E63" s="81"/>
      <c r="F63" s="81"/>
      <c r="G63" s="81"/>
      <c r="H63" s="81"/>
      <c r="I63" s="81"/>
    </row>
    <row r="64" spans="1:9" ht="22.5">
      <c r="A64" s="81" t="s">
        <v>54</v>
      </c>
      <c r="B64" s="81"/>
      <c r="C64" s="81"/>
      <c r="D64" s="81"/>
      <c r="E64" s="81"/>
      <c r="F64" s="81"/>
      <c r="G64" s="81"/>
      <c r="H64" s="81"/>
      <c r="I64" s="81"/>
    </row>
    <row r="65" spans="1:9" ht="20.25">
      <c r="A65" s="82" t="s">
        <v>345</v>
      </c>
      <c r="B65" s="82"/>
      <c r="C65" s="82"/>
      <c r="D65" s="82"/>
      <c r="E65" s="82"/>
      <c r="F65" s="82"/>
      <c r="G65" s="82"/>
      <c r="H65" s="82"/>
      <c r="I65" s="82"/>
    </row>
    <row r="66" spans="1:9" ht="15.75" thickBot="1">
      <c r="A66" s="83"/>
      <c r="B66" s="83"/>
      <c r="C66" s="83"/>
      <c r="D66" s="83"/>
      <c r="E66" s="83"/>
      <c r="F66" s="83"/>
      <c r="G66" s="83"/>
      <c r="H66" s="83"/>
      <c r="I66" s="83"/>
    </row>
    <row r="67" spans="1:9" ht="15.75" thickTop="1">
      <c r="A67" s="84" t="s">
        <v>23</v>
      </c>
      <c r="B67" s="85" t="s">
        <v>56</v>
      </c>
      <c r="C67" s="86"/>
      <c r="D67" s="87" t="s">
        <v>57</v>
      </c>
      <c r="E67" s="88"/>
      <c r="F67" s="89" t="s">
        <v>58</v>
      </c>
      <c r="G67" s="87" t="s">
        <v>57</v>
      </c>
      <c r="H67" s="88"/>
      <c r="I67" s="89" t="s">
        <v>58</v>
      </c>
    </row>
    <row r="68" spans="1:9">
      <c r="A68" s="90"/>
      <c r="B68" s="91"/>
      <c r="C68" s="92"/>
      <c r="D68" s="93" t="s">
        <v>305</v>
      </c>
      <c r="E68" s="94"/>
      <c r="F68" s="95"/>
      <c r="G68" s="93" t="s">
        <v>346</v>
      </c>
      <c r="H68" s="94"/>
      <c r="I68" s="95"/>
    </row>
    <row r="69" spans="1:9">
      <c r="A69" s="96"/>
      <c r="B69" s="97"/>
      <c r="C69" s="98"/>
      <c r="D69" s="99" t="s">
        <v>28</v>
      </c>
      <c r="E69" s="99" t="s">
        <v>61</v>
      </c>
      <c r="F69" s="100"/>
      <c r="G69" s="99" t="s">
        <v>28</v>
      </c>
      <c r="H69" s="99" t="s">
        <v>61</v>
      </c>
      <c r="I69" s="100"/>
    </row>
    <row r="70" spans="1:9">
      <c r="A70" s="101" t="s">
        <v>62</v>
      </c>
      <c r="B70" s="102"/>
      <c r="C70" s="102"/>
      <c r="D70" s="102"/>
      <c r="E70" s="102"/>
      <c r="F70" s="102"/>
      <c r="G70" s="102"/>
      <c r="H70" s="102"/>
      <c r="I70" s="103"/>
    </row>
    <row r="71" spans="1:9">
      <c r="A71" s="104">
        <v>1</v>
      </c>
      <c r="B71" s="104">
        <v>1</v>
      </c>
      <c r="C71" s="105" t="s">
        <v>63</v>
      </c>
      <c r="D71" s="106">
        <v>2035800</v>
      </c>
      <c r="E71" s="107">
        <f>0</f>
        <v>0</v>
      </c>
      <c r="F71" s="106">
        <f>SUM(D71:E71)</f>
        <v>2035800</v>
      </c>
      <c r="G71" s="106">
        <v>2035800</v>
      </c>
      <c r="H71" s="107">
        <f>0</f>
        <v>0</v>
      </c>
      <c r="I71" s="106">
        <f>SUM(G71:H71)</f>
        <v>2035800</v>
      </c>
    </row>
    <row r="72" spans="1:9">
      <c r="A72" s="108" t="s">
        <v>58</v>
      </c>
      <c r="B72" s="109"/>
      <c r="C72" s="109"/>
      <c r="D72" s="110">
        <f>D71</f>
        <v>2035800</v>
      </c>
      <c r="E72" s="111">
        <f>E71</f>
        <v>0</v>
      </c>
      <c r="F72" s="112">
        <f>SUM(D72:E72)</f>
        <v>2035800</v>
      </c>
      <c r="G72" s="110">
        <f>G71</f>
        <v>2035800</v>
      </c>
      <c r="H72" s="111">
        <f>H71</f>
        <v>0</v>
      </c>
      <c r="I72" s="112">
        <f>SUM(G72:H72)</f>
        <v>2035800</v>
      </c>
    </row>
    <row r="73" spans="1:9">
      <c r="A73" s="108" t="s">
        <v>64</v>
      </c>
      <c r="B73" s="109"/>
      <c r="C73" s="109"/>
      <c r="D73" s="109"/>
      <c r="E73" s="109"/>
      <c r="F73" s="109"/>
      <c r="G73" s="109"/>
      <c r="H73" s="109"/>
      <c r="I73" s="113"/>
    </row>
    <row r="74" spans="1:9">
      <c r="A74" s="114">
        <v>2</v>
      </c>
      <c r="B74" s="115">
        <v>1</v>
      </c>
      <c r="C74" s="116" t="s">
        <v>65</v>
      </c>
      <c r="D74" s="106">
        <v>1154900</v>
      </c>
      <c r="E74" s="106">
        <v>319000</v>
      </c>
      <c r="F74" s="117">
        <f>SUM(D74:E74)</f>
        <v>1473900</v>
      </c>
      <c r="G74" s="106">
        <f>0</f>
        <v>0</v>
      </c>
      <c r="H74" s="106">
        <f>0</f>
        <v>0</v>
      </c>
      <c r="I74" s="117">
        <f>SUM(G74:H74)</f>
        <v>0</v>
      </c>
    </row>
    <row r="75" spans="1:9">
      <c r="A75" s="114">
        <v>3</v>
      </c>
      <c r="B75" s="115">
        <v>2</v>
      </c>
      <c r="C75" s="116" t="s">
        <v>66</v>
      </c>
      <c r="D75" s="106">
        <v>864469</v>
      </c>
      <c r="E75" s="106">
        <v>306550</v>
      </c>
      <c r="F75" s="117">
        <f t="shared" ref="F75:F83" si="0">SUM(D75:E75)</f>
        <v>1171019</v>
      </c>
      <c r="G75" s="106">
        <v>864469</v>
      </c>
      <c r="H75" s="106">
        <v>296550</v>
      </c>
      <c r="I75" s="117">
        <f t="shared" ref="I75:I83" si="1">SUM(G75:H75)</f>
        <v>1161019</v>
      </c>
    </row>
    <row r="76" spans="1:9">
      <c r="A76" s="114">
        <v>4</v>
      </c>
      <c r="B76" s="115">
        <v>3</v>
      </c>
      <c r="C76" s="116" t="s">
        <v>67</v>
      </c>
      <c r="D76" s="106">
        <v>2376600</v>
      </c>
      <c r="E76" s="118">
        <v>270000</v>
      </c>
      <c r="F76" s="117">
        <f t="shared" si="0"/>
        <v>2646600</v>
      </c>
      <c r="G76" s="106">
        <v>2394200</v>
      </c>
      <c r="H76" s="118">
        <v>269300</v>
      </c>
      <c r="I76" s="117">
        <f t="shared" si="1"/>
        <v>2663500</v>
      </c>
    </row>
    <row r="77" spans="1:9">
      <c r="A77" s="114">
        <v>5</v>
      </c>
      <c r="B77" s="115">
        <v>4</v>
      </c>
      <c r="C77" s="116" t="s">
        <v>68</v>
      </c>
      <c r="D77" s="106">
        <v>1467063</v>
      </c>
      <c r="E77" s="106">
        <v>45000</v>
      </c>
      <c r="F77" s="117">
        <f t="shared" si="0"/>
        <v>1512063</v>
      </c>
      <c r="G77" s="106">
        <v>1467063</v>
      </c>
      <c r="H77" s="106">
        <v>45000</v>
      </c>
      <c r="I77" s="117">
        <f t="shared" si="1"/>
        <v>1512063</v>
      </c>
    </row>
    <row r="78" spans="1:9">
      <c r="A78" s="114">
        <v>6</v>
      </c>
      <c r="B78" s="115">
        <v>5</v>
      </c>
      <c r="C78" s="116" t="s">
        <v>69</v>
      </c>
      <c r="D78" s="106">
        <v>2009500</v>
      </c>
      <c r="E78" s="106">
        <v>147300</v>
      </c>
      <c r="F78" s="117">
        <f t="shared" si="0"/>
        <v>2156800</v>
      </c>
      <c r="G78" s="106">
        <v>2017800</v>
      </c>
      <c r="H78" s="106">
        <v>147300</v>
      </c>
      <c r="I78" s="117">
        <f t="shared" si="1"/>
        <v>2165100</v>
      </c>
    </row>
    <row r="79" spans="1:9">
      <c r="A79" s="114">
        <v>7</v>
      </c>
      <c r="B79" s="115">
        <v>6</v>
      </c>
      <c r="C79" s="116" t="s">
        <v>70</v>
      </c>
      <c r="D79" s="106">
        <v>4173700</v>
      </c>
      <c r="E79" s="106">
        <f>0</f>
        <v>0</v>
      </c>
      <c r="F79" s="117">
        <f t="shared" si="0"/>
        <v>4173700</v>
      </c>
      <c r="G79" s="106">
        <v>4128700</v>
      </c>
      <c r="H79" s="106">
        <f>0</f>
        <v>0</v>
      </c>
      <c r="I79" s="117">
        <f t="shared" si="1"/>
        <v>4128700</v>
      </c>
    </row>
    <row r="80" spans="1:9">
      <c r="A80" s="114">
        <v>8</v>
      </c>
      <c r="B80" s="115">
        <v>7</v>
      </c>
      <c r="C80" s="116" t="s">
        <v>71</v>
      </c>
      <c r="D80" s="106">
        <v>1349300</v>
      </c>
      <c r="E80" s="106">
        <v>2022500</v>
      </c>
      <c r="F80" s="117">
        <f t="shared" si="0"/>
        <v>3371800</v>
      </c>
      <c r="G80" s="106">
        <v>1507300</v>
      </c>
      <c r="H80" s="106">
        <v>1974500</v>
      </c>
      <c r="I80" s="117">
        <f t="shared" si="1"/>
        <v>3481800</v>
      </c>
    </row>
    <row r="81" spans="1:9">
      <c r="A81" s="114">
        <v>9</v>
      </c>
      <c r="B81" s="115">
        <v>8</v>
      </c>
      <c r="C81" s="116" t="s">
        <v>72</v>
      </c>
      <c r="D81" s="106">
        <v>534000</v>
      </c>
      <c r="E81" s="106">
        <v>875000</v>
      </c>
      <c r="F81" s="117">
        <f t="shared" si="0"/>
        <v>1409000</v>
      </c>
      <c r="G81" s="106">
        <f>0</f>
        <v>0</v>
      </c>
      <c r="H81" s="106">
        <f>0</f>
        <v>0</v>
      </c>
      <c r="I81" s="117">
        <f t="shared" si="1"/>
        <v>0</v>
      </c>
    </row>
    <row r="82" spans="1:9">
      <c r="A82" s="114">
        <v>10</v>
      </c>
      <c r="B82" s="115">
        <v>9</v>
      </c>
      <c r="C82" s="116" t="s">
        <v>73</v>
      </c>
      <c r="D82" s="106">
        <v>1563000</v>
      </c>
      <c r="E82" s="106">
        <v>52000</v>
      </c>
      <c r="F82" s="117">
        <f t="shared" si="0"/>
        <v>1615000</v>
      </c>
      <c r="G82" s="106">
        <v>1566000</v>
      </c>
      <c r="H82" s="106">
        <v>52000</v>
      </c>
      <c r="I82" s="117">
        <f t="shared" si="1"/>
        <v>1618000</v>
      </c>
    </row>
    <row r="83" spans="1:9">
      <c r="A83" s="114">
        <v>11</v>
      </c>
      <c r="B83" s="115">
        <v>10</v>
      </c>
      <c r="C83" s="119" t="s">
        <v>74</v>
      </c>
      <c r="D83" s="106">
        <f>0</f>
        <v>0</v>
      </c>
      <c r="E83" s="106">
        <f>0</f>
        <v>0</v>
      </c>
      <c r="F83" s="117">
        <f t="shared" si="0"/>
        <v>0</v>
      </c>
      <c r="G83" s="106">
        <f>0</f>
        <v>0</v>
      </c>
      <c r="H83" s="106">
        <f>370320+373515</f>
        <v>743835</v>
      </c>
      <c r="I83" s="117">
        <f t="shared" si="1"/>
        <v>743835</v>
      </c>
    </row>
    <row r="84" spans="1:9">
      <c r="A84" s="108" t="s">
        <v>58</v>
      </c>
      <c r="B84" s="109"/>
      <c r="C84" s="109"/>
      <c r="D84" s="110">
        <f>SUM(D74:D83)</f>
        <v>15492532</v>
      </c>
      <c r="E84" s="110">
        <f>SUM(E74:E83)</f>
        <v>4037350</v>
      </c>
      <c r="F84" s="110">
        <f>SUM(D84:E84)</f>
        <v>19529882</v>
      </c>
      <c r="G84" s="110">
        <f>SUM(G74:G83)</f>
        <v>13945532</v>
      </c>
      <c r="H84" s="110">
        <f>SUM(H74:H83)</f>
        <v>3528485</v>
      </c>
      <c r="I84" s="110">
        <f>SUM(G84:H84)</f>
        <v>17474017</v>
      </c>
    </row>
    <row r="85" spans="1:9">
      <c r="A85" s="108" t="s">
        <v>75</v>
      </c>
      <c r="B85" s="109"/>
      <c r="C85" s="109"/>
      <c r="D85" s="109"/>
      <c r="E85" s="109"/>
      <c r="F85" s="109"/>
      <c r="G85" s="109"/>
      <c r="H85" s="109"/>
      <c r="I85" s="113"/>
    </row>
    <row r="86" spans="1:9">
      <c r="A86" s="120">
        <v>12</v>
      </c>
      <c r="B86" s="119">
        <v>1</v>
      </c>
      <c r="C86" s="116" t="s">
        <v>76</v>
      </c>
      <c r="D86" s="106">
        <v>2714285</v>
      </c>
      <c r="E86" s="106">
        <v>1992215</v>
      </c>
      <c r="F86" s="117">
        <f>SUM(D86:E86)</f>
        <v>4706500</v>
      </c>
      <c r="G86" s="106">
        <v>2639415</v>
      </c>
      <c r="H86" s="106">
        <v>1956215</v>
      </c>
      <c r="I86" s="117">
        <f>SUM(G86:H86)</f>
        <v>4595630</v>
      </c>
    </row>
    <row r="87" spans="1:9">
      <c r="A87" s="120">
        <v>13</v>
      </c>
      <c r="B87" s="119">
        <v>2</v>
      </c>
      <c r="C87" s="116" t="s">
        <v>77</v>
      </c>
      <c r="D87" s="106">
        <v>3756686</v>
      </c>
      <c r="E87" s="106">
        <v>5170000</v>
      </c>
      <c r="F87" s="117">
        <f t="shared" ref="F87:F99" si="2">SUM(D87:E87)</f>
        <v>8926686</v>
      </c>
      <c r="G87" s="106">
        <v>3756686</v>
      </c>
      <c r="H87" s="106">
        <v>5180000</v>
      </c>
      <c r="I87" s="117">
        <f t="shared" ref="I87:I99" si="3">SUM(G87:H87)</f>
        <v>8936686</v>
      </c>
    </row>
    <row r="88" spans="1:9">
      <c r="A88" s="120">
        <v>14</v>
      </c>
      <c r="B88" s="119">
        <v>3</v>
      </c>
      <c r="C88" s="116" t="s">
        <v>78</v>
      </c>
      <c r="D88" s="106">
        <v>2967300</v>
      </c>
      <c r="E88" s="106">
        <v>793000</v>
      </c>
      <c r="F88" s="117">
        <f t="shared" si="2"/>
        <v>3760300</v>
      </c>
      <c r="G88" s="106">
        <v>2913300</v>
      </c>
      <c r="H88" s="106">
        <v>792000</v>
      </c>
      <c r="I88" s="117">
        <f t="shared" si="3"/>
        <v>3705300</v>
      </c>
    </row>
    <row r="89" spans="1:9">
      <c r="A89" s="120">
        <v>15</v>
      </c>
      <c r="B89" s="119">
        <v>4</v>
      </c>
      <c r="C89" s="116" t="s">
        <v>79</v>
      </c>
      <c r="D89" s="106">
        <v>966440</v>
      </c>
      <c r="E89" s="106">
        <v>1475392</v>
      </c>
      <c r="F89" s="117">
        <f t="shared" si="2"/>
        <v>2441832</v>
      </c>
      <c r="G89" s="106">
        <v>966440</v>
      </c>
      <c r="H89" s="106">
        <v>1475392</v>
      </c>
      <c r="I89" s="117">
        <f t="shared" si="3"/>
        <v>2441832</v>
      </c>
    </row>
    <row r="90" spans="1:9">
      <c r="A90" s="120">
        <v>16</v>
      </c>
      <c r="B90" s="119">
        <v>5</v>
      </c>
      <c r="C90" s="116" t="s">
        <v>80</v>
      </c>
      <c r="D90" s="106">
        <v>2876700</v>
      </c>
      <c r="E90" s="106">
        <v>110000</v>
      </c>
      <c r="F90" s="117">
        <f t="shared" si="2"/>
        <v>2986700</v>
      </c>
      <c r="G90" s="106">
        <v>2876700</v>
      </c>
      <c r="H90" s="106">
        <v>110000</v>
      </c>
      <c r="I90" s="117">
        <f t="shared" si="3"/>
        <v>2986700</v>
      </c>
    </row>
    <row r="91" spans="1:9">
      <c r="A91" s="120">
        <v>17</v>
      </c>
      <c r="B91" s="119">
        <v>6</v>
      </c>
      <c r="C91" s="116" t="s">
        <v>81</v>
      </c>
      <c r="D91" s="106">
        <v>2089500</v>
      </c>
      <c r="E91" s="106">
        <v>153000</v>
      </c>
      <c r="F91" s="117">
        <f t="shared" si="2"/>
        <v>2242500</v>
      </c>
      <c r="G91" s="106">
        <v>2089500</v>
      </c>
      <c r="H91" s="106">
        <v>153000</v>
      </c>
      <c r="I91" s="117">
        <f t="shared" si="3"/>
        <v>2242500</v>
      </c>
    </row>
    <row r="92" spans="1:9">
      <c r="A92" s="120">
        <v>18</v>
      </c>
      <c r="B92" s="119">
        <v>7</v>
      </c>
      <c r="C92" s="116" t="s">
        <v>82</v>
      </c>
      <c r="D92" s="106">
        <v>4344700</v>
      </c>
      <c r="E92" s="106">
        <v>199800</v>
      </c>
      <c r="F92" s="117">
        <f t="shared" si="2"/>
        <v>4544500</v>
      </c>
      <c r="G92" s="106">
        <v>4344700</v>
      </c>
      <c r="H92" s="106">
        <v>189800</v>
      </c>
      <c r="I92" s="117">
        <f t="shared" si="3"/>
        <v>4534500</v>
      </c>
    </row>
    <row r="93" spans="1:9">
      <c r="A93" s="120">
        <v>19</v>
      </c>
      <c r="B93" s="119">
        <v>8</v>
      </c>
      <c r="C93" s="116" t="s">
        <v>83</v>
      </c>
      <c r="D93" s="106">
        <v>933775</v>
      </c>
      <c r="E93" s="106">
        <v>941000</v>
      </c>
      <c r="F93" s="117">
        <f t="shared" si="2"/>
        <v>1874775</v>
      </c>
      <c r="G93" s="106">
        <v>1056888</v>
      </c>
      <c r="H93" s="106">
        <v>941000</v>
      </c>
      <c r="I93" s="117">
        <f t="shared" si="3"/>
        <v>1997888</v>
      </c>
    </row>
    <row r="94" spans="1:9">
      <c r="A94" s="120">
        <v>20</v>
      </c>
      <c r="B94" s="119">
        <v>9</v>
      </c>
      <c r="C94" s="116" t="s">
        <v>84</v>
      </c>
      <c r="D94" s="106">
        <v>748000</v>
      </c>
      <c r="E94" s="106">
        <v>162000</v>
      </c>
      <c r="F94" s="117">
        <f t="shared" si="2"/>
        <v>910000</v>
      </c>
      <c r="G94" s="106">
        <v>748000</v>
      </c>
      <c r="H94" s="106">
        <v>162000</v>
      </c>
      <c r="I94" s="117">
        <f t="shared" si="3"/>
        <v>910000</v>
      </c>
    </row>
    <row r="95" spans="1:9">
      <c r="A95" s="120">
        <v>21</v>
      </c>
      <c r="B95" s="119">
        <v>10</v>
      </c>
      <c r="C95" s="116" t="s">
        <v>85</v>
      </c>
      <c r="D95" s="106">
        <v>3252342</v>
      </c>
      <c r="E95" s="106">
        <v>59000</v>
      </c>
      <c r="F95" s="117">
        <f t="shared" si="2"/>
        <v>3311342</v>
      </c>
      <c r="G95" s="106">
        <v>3252342</v>
      </c>
      <c r="H95" s="106">
        <v>59000</v>
      </c>
      <c r="I95" s="117">
        <f t="shared" si="3"/>
        <v>3311342</v>
      </c>
    </row>
    <row r="96" spans="1:9">
      <c r="A96" s="120">
        <v>22</v>
      </c>
      <c r="B96" s="119">
        <v>11</v>
      </c>
      <c r="C96" s="116" t="s">
        <v>86</v>
      </c>
      <c r="D96" s="106">
        <v>2764494</v>
      </c>
      <c r="E96" s="106">
        <v>1370000</v>
      </c>
      <c r="F96" s="117">
        <f t="shared" si="2"/>
        <v>4134494</v>
      </c>
      <c r="G96" s="106">
        <v>2785678</v>
      </c>
      <c r="H96" s="106">
        <v>1370000</v>
      </c>
      <c r="I96" s="117">
        <f t="shared" si="3"/>
        <v>4155678</v>
      </c>
    </row>
    <row r="97" spans="1:9">
      <c r="A97" s="120">
        <v>23</v>
      </c>
      <c r="B97" s="119">
        <v>12</v>
      </c>
      <c r="C97" s="116" t="s">
        <v>87</v>
      </c>
      <c r="D97" s="106">
        <v>1572700</v>
      </c>
      <c r="E97" s="106">
        <v>494159</v>
      </c>
      <c r="F97" s="117">
        <f t="shared" si="2"/>
        <v>2066859</v>
      </c>
      <c r="G97" s="106">
        <v>1650300</v>
      </c>
      <c r="H97" s="106">
        <v>494192</v>
      </c>
      <c r="I97" s="117">
        <f t="shared" si="3"/>
        <v>2144492</v>
      </c>
    </row>
    <row r="98" spans="1:9">
      <c r="A98" s="120">
        <v>24</v>
      </c>
      <c r="B98" s="119">
        <v>13</v>
      </c>
      <c r="C98" s="116" t="s">
        <v>88</v>
      </c>
      <c r="D98" s="106">
        <v>1548000</v>
      </c>
      <c r="E98" s="106">
        <v>685000</v>
      </c>
      <c r="F98" s="117">
        <f t="shared" si="2"/>
        <v>2233000</v>
      </c>
      <c r="G98" s="106">
        <v>1650500</v>
      </c>
      <c r="H98" s="106">
        <v>675000</v>
      </c>
      <c r="I98" s="117">
        <f t="shared" si="3"/>
        <v>2325500</v>
      </c>
    </row>
    <row r="99" spans="1:9">
      <c r="A99" s="120">
        <v>25</v>
      </c>
      <c r="B99" s="119">
        <v>14</v>
      </c>
      <c r="C99" s="116" t="s">
        <v>89</v>
      </c>
      <c r="D99" s="106">
        <v>356800</v>
      </c>
      <c r="E99" s="106">
        <v>568000</v>
      </c>
      <c r="F99" s="117">
        <f t="shared" si="2"/>
        <v>924800</v>
      </c>
      <c r="G99" s="106">
        <f>0</f>
        <v>0</v>
      </c>
      <c r="H99" s="106">
        <f>0</f>
        <v>0</v>
      </c>
      <c r="I99" s="117">
        <f t="shared" si="3"/>
        <v>0</v>
      </c>
    </row>
    <row r="100" spans="1:9">
      <c r="A100" s="108" t="s">
        <v>58</v>
      </c>
      <c r="B100" s="109"/>
      <c r="C100" s="109"/>
      <c r="D100" s="110">
        <f>SUM(D86:D99)</f>
        <v>30891722</v>
      </c>
      <c r="E100" s="110">
        <f>SUM(E86:E99)</f>
        <v>14172566</v>
      </c>
      <c r="F100" s="110">
        <f>SUM(D100:E100)</f>
        <v>45064288</v>
      </c>
      <c r="G100" s="110">
        <f>SUM(G86:G99)</f>
        <v>30730449</v>
      </c>
      <c r="H100" s="110">
        <f>SUM(H86:H99)</f>
        <v>13557599</v>
      </c>
      <c r="I100" s="110">
        <f>SUM(G100:H100)</f>
        <v>44288048</v>
      </c>
    </row>
    <row r="101" spans="1:9">
      <c r="A101" s="108" t="s">
        <v>90</v>
      </c>
      <c r="B101" s="109"/>
      <c r="C101" s="109"/>
      <c r="D101" s="109"/>
      <c r="E101" s="109"/>
      <c r="F101" s="109"/>
      <c r="G101" s="109"/>
      <c r="H101" s="109"/>
      <c r="I101" s="113"/>
    </row>
    <row r="102" spans="1:9">
      <c r="A102" s="119">
        <v>26</v>
      </c>
      <c r="B102" s="119">
        <v>1</v>
      </c>
      <c r="C102" s="116" t="s">
        <v>91</v>
      </c>
      <c r="D102" s="106">
        <v>350000</v>
      </c>
      <c r="E102" s="106">
        <v>305000</v>
      </c>
      <c r="F102" s="117">
        <f>SUM(D102:E102)</f>
        <v>655000</v>
      </c>
      <c r="G102" s="106">
        <v>350000</v>
      </c>
      <c r="H102" s="106">
        <v>305000</v>
      </c>
      <c r="I102" s="117">
        <f>SUM(G102:H102)</f>
        <v>655000</v>
      </c>
    </row>
    <row r="103" spans="1:9">
      <c r="A103" s="119">
        <v>27</v>
      </c>
      <c r="B103" s="119">
        <v>2</v>
      </c>
      <c r="C103" s="121" t="s">
        <v>92</v>
      </c>
      <c r="D103" s="106">
        <f>0</f>
        <v>0</v>
      </c>
      <c r="E103" s="106">
        <f>0</f>
        <v>0</v>
      </c>
      <c r="F103" s="117">
        <f t="shared" ref="F103:F110" si="4">SUM(D103:E103)</f>
        <v>0</v>
      </c>
      <c r="G103" s="106">
        <f>0</f>
        <v>0</v>
      </c>
      <c r="H103" s="106">
        <f>0</f>
        <v>0</v>
      </c>
      <c r="I103" s="117">
        <f t="shared" ref="I103:I110" si="5">SUM(G103:H103)</f>
        <v>0</v>
      </c>
    </row>
    <row r="104" spans="1:9">
      <c r="A104" s="119">
        <v>28</v>
      </c>
      <c r="B104" s="119">
        <v>3</v>
      </c>
      <c r="C104" s="121" t="s">
        <v>93</v>
      </c>
      <c r="D104" s="106">
        <f>0</f>
        <v>0</v>
      </c>
      <c r="E104" s="106">
        <f>0</f>
        <v>0</v>
      </c>
      <c r="F104" s="117">
        <f t="shared" si="4"/>
        <v>0</v>
      </c>
      <c r="G104" s="106">
        <f>384000+384000</f>
        <v>768000</v>
      </c>
      <c r="H104" s="106">
        <f>60000+60000</f>
        <v>120000</v>
      </c>
      <c r="I104" s="117">
        <f t="shared" si="5"/>
        <v>888000</v>
      </c>
    </row>
    <row r="105" spans="1:9">
      <c r="A105" s="119">
        <v>29</v>
      </c>
      <c r="B105" s="119">
        <v>4</v>
      </c>
      <c r="C105" s="121" t="s">
        <v>94</v>
      </c>
      <c r="D105" s="106">
        <f>250000+250000+256000</f>
        <v>756000</v>
      </c>
      <c r="E105" s="106">
        <f>185000+185000+185000</f>
        <v>555000</v>
      </c>
      <c r="F105" s="117">
        <f t="shared" si="4"/>
        <v>1311000</v>
      </c>
      <c r="G105" s="106">
        <v>250000</v>
      </c>
      <c r="H105" s="106">
        <v>185000</v>
      </c>
      <c r="I105" s="117">
        <f t="shared" si="5"/>
        <v>435000</v>
      </c>
    </row>
    <row r="106" spans="1:9">
      <c r="A106" s="119">
        <v>30</v>
      </c>
      <c r="B106" s="119">
        <v>5</v>
      </c>
      <c r="C106" s="121" t="s">
        <v>95</v>
      </c>
      <c r="D106" s="106">
        <v>148000</v>
      </c>
      <c r="E106" s="106">
        <v>260000</v>
      </c>
      <c r="F106" s="117">
        <f t="shared" si="4"/>
        <v>408000</v>
      </c>
      <c r="G106" s="106">
        <v>148000</v>
      </c>
      <c r="H106" s="106">
        <v>260000</v>
      </c>
      <c r="I106" s="117">
        <f t="shared" si="5"/>
        <v>408000</v>
      </c>
    </row>
    <row r="107" spans="1:9">
      <c r="A107" s="119">
        <v>31</v>
      </c>
      <c r="B107" s="119">
        <v>6</v>
      </c>
      <c r="C107" s="121" t="s">
        <v>96</v>
      </c>
      <c r="D107" s="106">
        <v>431000</v>
      </c>
      <c r="E107" s="106">
        <v>42000</v>
      </c>
      <c r="F107" s="117">
        <f t="shared" si="4"/>
        <v>473000</v>
      </c>
      <c r="G107" s="106">
        <v>437500</v>
      </c>
      <c r="H107" s="106">
        <v>42000</v>
      </c>
      <c r="I107" s="117">
        <f t="shared" si="5"/>
        <v>479500</v>
      </c>
    </row>
    <row r="108" spans="1:9">
      <c r="A108" s="119">
        <v>32</v>
      </c>
      <c r="B108" s="119">
        <v>7</v>
      </c>
      <c r="C108" s="121" t="s">
        <v>97</v>
      </c>
      <c r="D108" s="106">
        <v>687800</v>
      </c>
      <c r="E108" s="106">
        <v>337500</v>
      </c>
      <c r="F108" s="117">
        <f t="shared" si="4"/>
        <v>1025300</v>
      </c>
      <c r="G108" s="106">
        <f>687800+1247098</f>
        <v>1934898</v>
      </c>
      <c r="H108" s="106">
        <f>337500+35000</f>
        <v>372500</v>
      </c>
      <c r="I108" s="117">
        <f t="shared" si="5"/>
        <v>2307398</v>
      </c>
    </row>
    <row r="109" spans="1:9">
      <c r="A109" s="119">
        <v>33</v>
      </c>
      <c r="B109" s="119">
        <v>8</v>
      </c>
      <c r="C109" s="121" t="s">
        <v>98</v>
      </c>
      <c r="D109" s="106">
        <v>457400</v>
      </c>
      <c r="E109" s="106">
        <v>84000</v>
      </c>
      <c r="F109" s="117">
        <f t="shared" si="4"/>
        <v>541400</v>
      </c>
      <c r="G109" s="106">
        <v>460400</v>
      </c>
      <c r="H109" s="106">
        <v>84000</v>
      </c>
      <c r="I109" s="117">
        <f t="shared" si="5"/>
        <v>544400</v>
      </c>
    </row>
    <row r="110" spans="1:9">
      <c r="A110" s="119">
        <v>34</v>
      </c>
      <c r="B110" s="119">
        <v>9</v>
      </c>
      <c r="C110" s="122" t="s">
        <v>99</v>
      </c>
      <c r="D110" s="106">
        <v>623850</v>
      </c>
      <c r="E110" s="106">
        <v>223000</v>
      </c>
      <c r="F110" s="117">
        <f t="shared" si="4"/>
        <v>846850</v>
      </c>
      <c r="G110" s="106">
        <v>520400</v>
      </c>
      <c r="H110" s="106">
        <v>283000</v>
      </c>
      <c r="I110" s="117">
        <f t="shared" si="5"/>
        <v>803400</v>
      </c>
    </row>
    <row r="111" spans="1:9">
      <c r="A111" s="108" t="s">
        <v>101</v>
      </c>
      <c r="B111" s="109"/>
      <c r="C111" s="123"/>
      <c r="D111" s="110">
        <f>SUM(D102:D110)</f>
        <v>3454050</v>
      </c>
      <c r="E111" s="110">
        <f>SUM(E102:E110)</f>
        <v>1806500</v>
      </c>
      <c r="F111" s="110">
        <f>SUM(D111:E111)</f>
        <v>5260550</v>
      </c>
      <c r="G111" s="110">
        <f>SUM(G102:G110)</f>
        <v>4869198</v>
      </c>
      <c r="H111" s="110">
        <f>SUM(H102:H110)</f>
        <v>1651500</v>
      </c>
      <c r="I111" s="110">
        <f>SUM(G111:H111)</f>
        <v>6520698</v>
      </c>
    </row>
    <row r="112" spans="1:9">
      <c r="A112" s="108" t="s">
        <v>102</v>
      </c>
      <c r="B112" s="109"/>
      <c r="C112" s="109"/>
      <c r="D112" s="109"/>
      <c r="E112" s="109"/>
      <c r="F112" s="109"/>
      <c r="G112" s="109"/>
      <c r="H112" s="109"/>
      <c r="I112" s="113"/>
    </row>
    <row r="113" spans="1:9">
      <c r="A113" s="119">
        <v>35</v>
      </c>
      <c r="B113" s="119">
        <v>1</v>
      </c>
      <c r="C113" s="116" t="s">
        <v>103</v>
      </c>
      <c r="D113" s="106">
        <v>100000</v>
      </c>
      <c r="E113" s="106">
        <v>60000</v>
      </c>
      <c r="F113" s="117">
        <f>SUM(D113:E113)</f>
        <v>160000</v>
      </c>
      <c r="G113" s="106">
        <v>100000</v>
      </c>
      <c r="H113" s="106">
        <v>60000</v>
      </c>
      <c r="I113" s="117">
        <f>SUM(G113:H113)</f>
        <v>160000</v>
      </c>
    </row>
    <row r="114" spans="1:9">
      <c r="A114" s="119">
        <v>36</v>
      </c>
      <c r="B114" s="119">
        <v>2</v>
      </c>
      <c r="C114" s="116" t="s">
        <v>104</v>
      </c>
      <c r="D114" s="106">
        <f>0</f>
        <v>0</v>
      </c>
      <c r="E114" s="106">
        <f>0</f>
        <v>0</v>
      </c>
      <c r="F114" s="117">
        <f>SUM(D114:E114)</f>
        <v>0</v>
      </c>
      <c r="G114" s="106">
        <f>0</f>
        <v>0</v>
      </c>
      <c r="H114" s="106">
        <f>0</f>
        <v>0</v>
      </c>
      <c r="I114" s="117">
        <f>SUM(G114:H114)</f>
        <v>0</v>
      </c>
    </row>
    <row r="115" spans="1:9">
      <c r="A115" s="119">
        <v>37</v>
      </c>
      <c r="B115" s="119">
        <v>3</v>
      </c>
      <c r="C115" s="116" t="s">
        <v>105</v>
      </c>
      <c r="D115" s="106">
        <v>1253000</v>
      </c>
      <c r="E115" s="106">
        <f>0</f>
        <v>0</v>
      </c>
      <c r="F115" s="117">
        <f>SUM(D115:E115)</f>
        <v>1253000</v>
      </c>
      <c r="G115" s="106">
        <v>1378700</v>
      </c>
      <c r="H115" s="106">
        <f>0</f>
        <v>0</v>
      </c>
      <c r="I115" s="117">
        <f>SUM(G115:H115)</f>
        <v>1378700</v>
      </c>
    </row>
    <row r="116" spans="1:9">
      <c r="A116" s="119">
        <v>38</v>
      </c>
      <c r="B116" s="119">
        <v>5</v>
      </c>
      <c r="C116" s="116" t="s">
        <v>106</v>
      </c>
      <c r="D116" s="106">
        <v>288400</v>
      </c>
      <c r="E116" s="106">
        <v>120000</v>
      </c>
      <c r="F116" s="117">
        <f>SUM(D116:E116)</f>
        <v>408400</v>
      </c>
      <c r="G116" s="106">
        <v>382700</v>
      </c>
      <c r="H116" s="106">
        <v>100000</v>
      </c>
      <c r="I116" s="117">
        <f>SUM(G116:H116)</f>
        <v>482700</v>
      </c>
    </row>
    <row r="117" spans="1:9">
      <c r="A117" s="108" t="s">
        <v>58</v>
      </c>
      <c r="B117" s="109"/>
      <c r="C117" s="109"/>
      <c r="D117" s="110">
        <f>SUM(D113:D116)</f>
        <v>1641400</v>
      </c>
      <c r="E117" s="110">
        <f>SUM(E113:E116)</f>
        <v>180000</v>
      </c>
      <c r="F117" s="110">
        <f>SUM(D117:E117)</f>
        <v>1821400</v>
      </c>
      <c r="G117" s="110">
        <f>SUM(G113:G116)</f>
        <v>1861400</v>
      </c>
      <c r="H117" s="110">
        <f>SUM(H113:H116)</f>
        <v>160000</v>
      </c>
      <c r="I117" s="110">
        <f>SUM(G117:H117)</f>
        <v>2021400</v>
      </c>
    </row>
    <row r="118" spans="1:9">
      <c r="A118" s="108" t="s">
        <v>107</v>
      </c>
      <c r="B118" s="109"/>
      <c r="C118" s="109"/>
      <c r="D118" s="109"/>
      <c r="E118" s="109"/>
      <c r="F118" s="109"/>
      <c r="G118" s="109"/>
      <c r="H118" s="109"/>
      <c r="I118" s="113"/>
    </row>
    <row r="119" spans="1:9">
      <c r="A119" s="119">
        <v>39</v>
      </c>
      <c r="B119" s="119">
        <v>1</v>
      </c>
      <c r="C119" s="119" t="s">
        <v>108</v>
      </c>
      <c r="D119" s="106">
        <v>500000</v>
      </c>
      <c r="E119" s="106">
        <v>100000</v>
      </c>
      <c r="F119" s="117">
        <f>SUM(D119:E119)</f>
        <v>600000</v>
      </c>
      <c r="G119" s="106">
        <v>500000</v>
      </c>
      <c r="H119" s="106">
        <v>100000</v>
      </c>
      <c r="I119" s="117">
        <f>SUM(G119:H119)</f>
        <v>600000</v>
      </c>
    </row>
    <row r="120" spans="1:9">
      <c r="A120" s="108" t="s">
        <v>101</v>
      </c>
      <c r="B120" s="109"/>
      <c r="C120" s="109"/>
      <c r="D120" s="110">
        <f>D119</f>
        <v>500000</v>
      </c>
      <c r="E120" s="110">
        <f>E119</f>
        <v>100000</v>
      </c>
      <c r="F120" s="110">
        <f>SUM(D120:E120)</f>
        <v>600000</v>
      </c>
      <c r="G120" s="110">
        <f>G119</f>
        <v>500000</v>
      </c>
      <c r="H120" s="110">
        <f>H119</f>
        <v>100000</v>
      </c>
      <c r="I120" s="110">
        <f>SUM(G120:H120)</f>
        <v>600000</v>
      </c>
    </row>
    <row r="121" spans="1:9">
      <c r="A121" s="108" t="s">
        <v>109</v>
      </c>
      <c r="B121" s="109"/>
      <c r="C121" s="109"/>
      <c r="D121" s="109"/>
      <c r="E121" s="109"/>
      <c r="F121" s="109"/>
      <c r="G121" s="109"/>
      <c r="H121" s="109"/>
      <c r="I121" s="113"/>
    </row>
    <row r="122" spans="1:9">
      <c r="A122" s="119">
        <v>40</v>
      </c>
      <c r="B122" s="119">
        <v>1</v>
      </c>
      <c r="C122" s="121" t="s">
        <v>110</v>
      </c>
      <c r="D122" s="106">
        <v>1689705</v>
      </c>
      <c r="E122" s="106">
        <v>513400</v>
      </c>
      <c r="F122" s="117">
        <f>SUM(D122:E122)</f>
        <v>2203105</v>
      </c>
      <c r="G122" s="106">
        <v>1718276</v>
      </c>
      <c r="H122" s="106">
        <v>510650</v>
      </c>
      <c r="I122" s="117">
        <f>SUM(G122:H122)</f>
        <v>2228926</v>
      </c>
    </row>
    <row r="123" spans="1:9">
      <c r="A123" s="108" t="s">
        <v>101</v>
      </c>
      <c r="B123" s="109"/>
      <c r="C123" s="109"/>
      <c r="D123" s="110">
        <f>D122</f>
        <v>1689705</v>
      </c>
      <c r="E123" s="110">
        <f>E122</f>
        <v>513400</v>
      </c>
      <c r="F123" s="110">
        <f>SUM(D123:E123)</f>
        <v>2203105</v>
      </c>
      <c r="G123" s="110">
        <f>G122</f>
        <v>1718276</v>
      </c>
      <c r="H123" s="110">
        <f>H122</f>
        <v>510650</v>
      </c>
      <c r="I123" s="110">
        <f>SUM(G123:H123)</f>
        <v>2228926</v>
      </c>
    </row>
    <row r="124" spans="1:9">
      <c r="A124" s="108" t="s">
        <v>111</v>
      </c>
      <c r="B124" s="109"/>
      <c r="C124" s="109"/>
      <c r="D124" s="109"/>
      <c r="E124" s="109"/>
      <c r="F124" s="109"/>
      <c r="G124" s="109"/>
      <c r="H124" s="109"/>
      <c r="I124" s="113"/>
    </row>
    <row r="125" spans="1:9">
      <c r="A125" s="119">
        <v>41</v>
      </c>
      <c r="B125" s="119">
        <v>1</v>
      </c>
      <c r="C125" s="121" t="s">
        <v>112</v>
      </c>
      <c r="D125" s="106">
        <f>0</f>
        <v>0</v>
      </c>
      <c r="E125" s="106">
        <v>649500</v>
      </c>
      <c r="F125" s="117">
        <f>SUM(D125:E125)</f>
        <v>649500</v>
      </c>
      <c r="G125" s="106">
        <v>1654500</v>
      </c>
      <c r="H125" s="106">
        <v>649500</v>
      </c>
      <c r="I125" s="117">
        <f>SUM(G125:H125)</f>
        <v>2304000</v>
      </c>
    </row>
    <row r="126" spans="1:9">
      <c r="A126" s="119">
        <v>42</v>
      </c>
      <c r="B126" s="119">
        <v>2</v>
      </c>
      <c r="C126" s="121" t="s">
        <v>113</v>
      </c>
      <c r="D126" s="106">
        <f>0</f>
        <v>0</v>
      </c>
      <c r="E126" s="106">
        <v>330000</v>
      </c>
      <c r="F126" s="117">
        <f t="shared" ref="F126:F137" si="6">SUM(D126:E126)</f>
        <v>330000</v>
      </c>
      <c r="G126" s="106">
        <v>831000</v>
      </c>
      <c r="H126" s="106">
        <v>330000</v>
      </c>
      <c r="I126" s="117">
        <f t="shared" ref="I126:I144" si="7">SUM(G126:H126)</f>
        <v>1161000</v>
      </c>
    </row>
    <row r="127" spans="1:9">
      <c r="A127" s="119">
        <v>43</v>
      </c>
      <c r="B127" s="119">
        <v>3</v>
      </c>
      <c r="C127" s="125" t="s">
        <v>114</v>
      </c>
      <c r="D127" s="106">
        <v>1623000</v>
      </c>
      <c r="E127" s="106">
        <f>0</f>
        <v>0</v>
      </c>
      <c r="F127" s="117">
        <f t="shared" si="6"/>
        <v>1623000</v>
      </c>
      <c r="G127" s="106">
        <v>1623000</v>
      </c>
      <c r="H127" s="106">
        <f>0</f>
        <v>0</v>
      </c>
      <c r="I127" s="117">
        <f t="shared" si="7"/>
        <v>1623000</v>
      </c>
    </row>
    <row r="128" spans="1:9">
      <c r="A128" s="119">
        <v>44</v>
      </c>
      <c r="B128" s="124">
        <v>4</v>
      </c>
      <c r="C128" s="125" t="s">
        <v>115</v>
      </c>
      <c r="D128" s="106">
        <v>1664500</v>
      </c>
      <c r="E128" s="106">
        <f>224000+224000</f>
        <v>448000</v>
      </c>
      <c r="F128" s="117">
        <f t="shared" si="6"/>
        <v>2112500</v>
      </c>
      <c r="G128" s="106">
        <f>0</f>
        <v>0</v>
      </c>
      <c r="H128" s="106">
        <v>224000</v>
      </c>
      <c r="I128" s="117">
        <f t="shared" si="7"/>
        <v>224000</v>
      </c>
    </row>
    <row r="129" spans="1:9">
      <c r="A129" s="119">
        <v>45</v>
      </c>
      <c r="B129" s="119">
        <v>5</v>
      </c>
      <c r="C129" s="125" t="s">
        <v>116</v>
      </c>
      <c r="D129" s="106">
        <v>505700</v>
      </c>
      <c r="E129" s="106">
        <v>161000</v>
      </c>
      <c r="F129" s="117">
        <f t="shared" si="6"/>
        <v>666700</v>
      </c>
      <c r="G129" s="106">
        <v>505700</v>
      </c>
      <c r="H129" s="106">
        <v>161000</v>
      </c>
      <c r="I129" s="117">
        <f t="shared" si="7"/>
        <v>666700</v>
      </c>
    </row>
    <row r="130" spans="1:9">
      <c r="A130" s="119">
        <v>46</v>
      </c>
      <c r="B130" s="119">
        <v>6</v>
      </c>
      <c r="C130" s="125" t="s">
        <v>117</v>
      </c>
      <c r="D130" s="106">
        <v>801817</v>
      </c>
      <c r="E130" s="106">
        <v>135000</v>
      </c>
      <c r="F130" s="117">
        <f t="shared" si="6"/>
        <v>936817</v>
      </c>
      <c r="G130" s="106">
        <v>801817</v>
      </c>
      <c r="H130" s="106">
        <v>135000</v>
      </c>
      <c r="I130" s="117">
        <f t="shared" si="7"/>
        <v>936817</v>
      </c>
    </row>
    <row r="131" spans="1:9">
      <c r="A131" s="119">
        <v>47</v>
      </c>
      <c r="B131" s="119">
        <v>7</v>
      </c>
      <c r="C131" s="125" t="s">
        <v>118</v>
      </c>
      <c r="D131" s="106">
        <v>720000</v>
      </c>
      <c r="E131" s="106">
        <v>150000</v>
      </c>
      <c r="F131" s="117">
        <f t="shared" si="6"/>
        <v>870000</v>
      </c>
      <c r="G131" s="106">
        <v>724000</v>
      </c>
      <c r="H131" s="106">
        <v>150000</v>
      </c>
      <c r="I131" s="117">
        <f t="shared" si="7"/>
        <v>874000</v>
      </c>
    </row>
    <row r="132" spans="1:9">
      <c r="A132" s="119">
        <v>48</v>
      </c>
      <c r="B132" s="119">
        <v>8</v>
      </c>
      <c r="C132" s="121" t="s">
        <v>119</v>
      </c>
      <c r="D132" s="106">
        <v>615000</v>
      </c>
      <c r="E132" s="106">
        <v>100000</v>
      </c>
      <c r="F132" s="117">
        <f t="shared" si="6"/>
        <v>715000</v>
      </c>
      <c r="G132" s="106">
        <v>615000</v>
      </c>
      <c r="H132" s="106">
        <v>100000</v>
      </c>
      <c r="I132" s="117">
        <f t="shared" si="7"/>
        <v>715000</v>
      </c>
    </row>
    <row r="133" spans="1:9">
      <c r="A133" s="119">
        <v>49</v>
      </c>
      <c r="B133" s="119">
        <v>9</v>
      </c>
      <c r="C133" s="121" t="s">
        <v>120</v>
      </c>
      <c r="D133" s="106">
        <v>554000</v>
      </c>
      <c r="E133" s="106">
        <v>220000</v>
      </c>
      <c r="F133" s="117">
        <f t="shared" si="6"/>
        <v>774000</v>
      </c>
      <c r="G133" s="106">
        <v>554000</v>
      </c>
      <c r="H133" s="106">
        <v>220000</v>
      </c>
      <c r="I133" s="117">
        <f t="shared" si="7"/>
        <v>774000</v>
      </c>
    </row>
    <row r="134" spans="1:9">
      <c r="A134" s="119">
        <v>50</v>
      </c>
      <c r="B134" s="119">
        <v>10</v>
      </c>
      <c r="C134" s="121" t="s">
        <v>121</v>
      </c>
      <c r="D134" s="106">
        <f>0</f>
        <v>0</v>
      </c>
      <c r="E134" s="106">
        <v>608335</v>
      </c>
      <c r="F134" s="117">
        <f t="shared" si="6"/>
        <v>608335</v>
      </c>
      <c r="G134" s="106">
        <f>0</f>
        <v>0</v>
      </c>
      <c r="H134" s="106">
        <v>608335</v>
      </c>
      <c r="I134" s="117">
        <f t="shared" si="7"/>
        <v>608335</v>
      </c>
    </row>
    <row r="135" spans="1:9">
      <c r="A135" s="119">
        <v>51</v>
      </c>
      <c r="B135" s="119">
        <v>11</v>
      </c>
      <c r="C135" s="121" t="s">
        <v>122</v>
      </c>
      <c r="D135" s="106">
        <v>1430576</v>
      </c>
      <c r="E135" s="106">
        <f>0</f>
        <v>0</v>
      </c>
      <c r="F135" s="117">
        <f t="shared" si="6"/>
        <v>1430576</v>
      </c>
      <c r="G135" s="106">
        <v>1450240</v>
      </c>
      <c r="H135" s="106">
        <f>0</f>
        <v>0</v>
      </c>
      <c r="I135" s="117">
        <f t="shared" si="7"/>
        <v>1450240</v>
      </c>
    </row>
    <row r="136" spans="1:9">
      <c r="A136" s="119">
        <v>52</v>
      </c>
      <c r="B136" s="119">
        <v>12</v>
      </c>
      <c r="C136" s="121" t="s">
        <v>123</v>
      </c>
      <c r="D136" s="106">
        <v>1732000</v>
      </c>
      <c r="E136" s="106">
        <f>0</f>
        <v>0</v>
      </c>
      <c r="F136" s="117">
        <f t="shared" si="6"/>
        <v>1732000</v>
      </c>
      <c r="G136" s="106">
        <v>1741000</v>
      </c>
      <c r="H136" s="106">
        <f>0</f>
        <v>0</v>
      </c>
      <c r="I136" s="117">
        <f t="shared" si="7"/>
        <v>1741000</v>
      </c>
    </row>
    <row r="137" spans="1:9">
      <c r="A137" s="119">
        <v>53</v>
      </c>
      <c r="B137" s="119">
        <v>13</v>
      </c>
      <c r="C137" s="121" t="s">
        <v>124</v>
      </c>
      <c r="D137" s="106">
        <v>716000</v>
      </c>
      <c r="E137" s="106">
        <v>400000</v>
      </c>
      <c r="F137" s="117">
        <f t="shared" si="6"/>
        <v>1116000</v>
      </c>
      <c r="G137" s="106">
        <f>0</f>
        <v>0</v>
      </c>
      <c r="H137" s="106">
        <v>169000</v>
      </c>
      <c r="I137" s="117">
        <f t="shared" si="7"/>
        <v>169000</v>
      </c>
    </row>
    <row r="138" spans="1:9">
      <c r="A138" s="119">
        <v>54</v>
      </c>
      <c r="B138" s="119">
        <v>14</v>
      </c>
      <c r="C138" s="121" t="s">
        <v>125</v>
      </c>
      <c r="D138" s="106">
        <v>229000</v>
      </c>
      <c r="E138" s="106">
        <v>150000</v>
      </c>
      <c r="F138" s="117">
        <f>SUM(D138:E138)</f>
        <v>379000</v>
      </c>
      <c r="G138" s="106">
        <v>229000</v>
      </c>
      <c r="H138" s="106">
        <v>150000</v>
      </c>
      <c r="I138" s="117">
        <f>SUM(G138:H138)</f>
        <v>379000</v>
      </c>
    </row>
    <row r="139" spans="1:9">
      <c r="A139" s="119">
        <v>55</v>
      </c>
      <c r="B139" s="119">
        <v>15</v>
      </c>
      <c r="C139" s="121" t="s">
        <v>126</v>
      </c>
      <c r="D139" s="106">
        <f>0</f>
        <v>0</v>
      </c>
      <c r="E139" s="106">
        <f>0</f>
        <v>0</v>
      </c>
      <c r="F139" s="117">
        <f t="shared" ref="F139:F144" si="8">SUM(D139:E139)</f>
        <v>0</v>
      </c>
      <c r="G139" s="106">
        <f>0</f>
        <v>0</v>
      </c>
      <c r="H139" s="106">
        <f>0</f>
        <v>0</v>
      </c>
      <c r="I139" s="117">
        <f t="shared" si="7"/>
        <v>0</v>
      </c>
    </row>
    <row r="140" spans="1:9">
      <c r="A140" s="119">
        <v>56</v>
      </c>
      <c r="B140" s="119">
        <v>16</v>
      </c>
      <c r="C140" s="121" t="s">
        <v>127</v>
      </c>
      <c r="D140" s="106">
        <v>1116000</v>
      </c>
      <c r="E140" s="106">
        <f>0</f>
        <v>0</v>
      </c>
      <c r="F140" s="117">
        <f t="shared" si="8"/>
        <v>1116000</v>
      </c>
      <c r="G140" s="106">
        <v>1116000</v>
      </c>
      <c r="H140" s="106">
        <f>0</f>
        <v>0</v>
      </c>
      <c r="I140" s="117">
        <f t="shared" si="7"/>
        <v>1116000</v>
      </c>
    </row>
    <row r="141" spans="1:9">
      <c r="A141" s="119">
        <v>57</v>
      </c>
      <c r="B141" s="119">
        <v>17</v>
      </c>
      <c r="C141" s="121" t="s">
        <v>128</v>
      </c>
      <c r="D141" s="106">
        <v>765000</v>
      </c>
      <c r="E141" s="106">
        <f>0</f>
        <v>0</v>
      </c>
      <c r="F141" s="117">
        <f t="shared" si="8"/>
        <v>765000</v>
      </c>
      <c r="G141" s="106">
        <f>0</f>
        <v>0</v>
      </c>
      <c r="H141" s="106">
        <v>765000</v>
      </c>
      <c r="I141" s="117">
        <f t="shared" si="7"/>
        <v>765000</v>
      </c>
    </row>
    <row r="142" spans="1:9">
      <c r="A142" s="119">
        <v>58</v>
      </c>
      <c r="B142" s="119">
        <v>18</v>
      </c>
      <c r="C142" s="121" t="s">
        <v>129</v>
      </c>
      <c r="D142" s="106">
        <v>1247000</v>
      </c>
      <c r="E142" s="106">
        <v>120000</v>
      </c>
      <c r="F142" s="117">
        <f t="shared" si="8"/>
        <v>1367000</v>
      </c>
      <c r="G142" s="106">
        <v>1247000</v>
      </c>
      <c r="H142" s="106">
        <v>120000</v>
      </c>
      <c r="I142" s="117">
        <f t="shared" si="7"/>
        <v>1367000</v>
      </c>
    </row>
    <row r="143" spans="1:9">
      <c r="A143" s="119">
        <v>59</v>
      </c>
      <c r="B143" s="119">
        <v>19</v>
      </c>
      <c r="C143" s="121" t="s">
        <v>130</v>
      </c>
      <c r="D143" s="106">
        <v>162750</v>
      </c>
      <c r="E143" s="106">
        <v>270000</v>
      </c>
      <c r="F143" s="117">
        <f t="shared" si="8"/>
        <v>432750</v>
      </c>
      <c r="G143" s="106">
        <v>260618</v>
      </c>
      <c r="H143" s="106">
        <v>260000</v>
      </c>
      <c r="I143" s="117">
        <f t="shared" si="7"/>
        <v>520618</v>
      </c>
    </row>
    <row r="144" spans="1:9">
      <c r="A144" s="119">
        <v>60</v>
      </c>
      <c r="B144" s="119">
        <v>20</v>
      </c>
      <c r="C144" s="121" t="s">
        <v>131</v>
      </c>
      <c r="D144" s="106">
        <v>616413</v>
      </c>
      <c r="E144" s="106">
        <v>312100</v>
      </c>
      <c r="F144" s="117">
        <f t="shared" si="8"/>
        <v>928513</v>
      </c>
      <c r="G144" s="106">
        <v>616413</v>
      </c>
      <c r="H144" s="106">
        <v>312100</v>
      </c>
      <c r="I144" s="117">
        <f t="shared" si="7"/>
        <v>928513</v>
      </c>
    </row>
    <row r="145" spans="1:9">
      <c r="A145" s="108" t="s">
        <v>58</v>
      </c>
      <c r="B145" s="109"/>
      <c r="C145" s="109"/>
      <c r="D145" s="110">
        <f>SUM(D125:D144)</f>
        <v>14498756</v>
      </c>
      <c r="E145" s="110">
        <f>SUM(E125:E144)</f>
        <v>4053935</v>
      </c>
      <c r="F145" s="110">
        <f>SUM(D145:E145)</f>
        <v>18552691</v>
      </c>
      <c r="G145" s="110">
        <f>SUM(G125:G144)</f>
        <v>13969288</v>
      </c>
      <c r="H145" s="110">
        <f>SUM(H125:H144)</f>
        <v>4353935</v>
      </c>
      <c r="I145" s="110">
        <f>SUM(G145:H145)</f>
        <v>18323223</v>
      </c>
    </row>
    <row r="146" spans="1:9">
      <c r="A146" s="126" t="s">
        <v>132</v>
      </c>
      <c r="B146" s="127"/>
      <c r="C146" s="127"/>
      <c r="D146" s="127"/>
      <c r="E146" s="127"/>
      <c r="F146" s="127"/>
      <c r="G146" s="127"/>
      <c r="H146" s="127"/>
      <c r="I146" s="128"/>
    </row>
    <row r="147" spans="1:9">
      <c r="A147" s="119">
        <v>61</v>
      </c>
      <c r="B147" s="119">
        <v>1</v>
      </c>
      <c r="C147" s="125" t="s">
        <v>133</v>
      </c>
      <c r="D147" s="106">
        <v>1599760</v>
      </c>
      <c r="E147" s="106">
        <v>925800</v>
      </c>
      <c r="F147" s="117">
        <f>SUM(D147:E147)</f>
        <v>2525560</v>
      </c>
      <c r="G147" s="106">
        <v>1599760</v>
      </c>
      <c r="H147" s="106">
        <v>920800</v>
      </c>
      <c r="I147" s="117">
        <f>SUM(G147:H147)</f>
        <v>2520560</v>
      </c>
    </row>
    <row r="148" spans="1:9">
      <c r="A148" s="119">
        <v>62</v>
      </c>
      <c r="B148" s="119">
        <v>2</v>
      </c>
      <c r="C148" s="125" t="s">
        <v>134</v>
      </c>
      <c r="D148" s="106">
        <v>333000</v>
      </c>
      <c r="E148" s="106">
        <v>291500</v>
      </c>
      <c r="F148" s="117">
        <f t="shared" ref="F148:F166" si="9">SUM(D148:E148)</f>
        <v>624500</v>
      </c>
      <c r="G148" s="106">
        <v>261500</v>
      </c>
      <c r="H148" s="106">
        <v>289000</v>
      </c>
      <c r="I148" s="117">
        <f t="shared" ref="I148:I166" si="10">SUM(G148:H148)</f>
        <v>550500</v>
      </c>
    </row>
    <row r="149" spans="1:9">
      <c r="A149" s="119">
        <v>63</v>
      </c>
      <c r="B149" s="119">
        <v>3</v>
      </c>
      <c r="C149" s="125" t="s">
        <v>135</v>
      </c>
      <c r="D149" s="106">
        <f>1425700+1425700</f>
        <v>2851400</v>
      </c>
      <c r="E149" s="106">
        <f>1257500+1257500</f>
        <v>2515000</v>
      </c>
      <c r="F149" s="117">
        <f t="shared" si="9"/>
        <v>5366400</v>
      </c>
      <c r="G149" s="106">
        <f>0</f>
        <v>0</v>
      </c>
      <c r="H149" s="106">
        <f>0</f>
        <v>0</v>
      </c>
      <c r="I149" s="117">
        <f t="shared" si="10"/>
        <v>0</v>
      </c>
    </row>
    <row r="150" spans="1:9">
      <c r="A150" s="119">
        <v>64</v>
      </c>
      <c r="B150" s="119">
        <v>4</v>
      </c>
      <c r="C150" s="125" t="s">
        <v>136</v>
      </c>
      <c r="D150" s="106">
        <f>0</f>
        <v>0</v>
      </c>
      <c r="E150" s="106">
        <v>300000</v>
      </c>
      <c r="F150" s="117">
        <f t="shared" si="9"/>
        <v>300000</v>
      </c>
      <c r="G150" s="106">
        <v>300000</v>
      </c>
      <c r="H150" s="106">
        <f>0</f>
        <v>0</v>
      </c>
      <c r="I150" s="117">
        <f t="shared" si="10"/>
        <v>300000</v>
      </c>
    </row>
    <row r="151" spans="1:9">
      <c r="A151" s="119">
        <v>65</v>
      </c>
      <c r="B151" s="119">
        <v>5</v>
      </c>
      <c r="C151" s="129" t="s">
        <v>137</v>
      </c>
      <c r="D151" s="106">
        <f>0</f>
        <v>0</v>
      </c>
      <c r="E151" s="106">
        <f>0</f>
        <v>0</v>
      </c>
      <c r="F151" s="117">
        <f t="shared" si="9"/>
        <v>0</v>
      </c>
      <c r="G151" s="106">
        <f>0</f>
        <v>0</v>
      </c>
      <c r="H151" s="106">
        <f>0</f>
        <v>0</v>
      </c>
      <c r="I151" s="117">
        <f t="shared" si="10"/>
        <v>0</v>
      </c>
    </row>
    <row r="152" spans="1:9">
      <c r="A152" s="119">
        <v>66</v>
      </c>
      <c r="B152" s="119">
        <v>6</v>
      </c>
      <c r="C152" s="125" t="s">
        <v>138</v>
      </c>
      <c r="D152" s="106">
        <v>794000</v>
      </c>
      <c r="E152" s="106">
        <v>1446000</v>
      </c>
      <c r="F152" s="117">
        <f t="shared" si="9"/>
        <v>2240000</v>
      </c>
      <c r="G152" s="106">
        <v>794000</v>
      </c>
      <c r="H152" s="106">
        <v>1446000</v>
      </c>
      <c r="I152" s="117">
        <f t="shared" si="10"/>
        <v>2240000</v>
      </c>
    </row>
    <row r="153" spans="1:9">
      <c r="A153" s="119">
        <v>67</v>
      </c>
      <c r="B153" s="119">
        <v>7</v>
      </c>
      <c r="C153" s="125" t="s">
        <v>139</v>
      </c>
      <c r="D153" s="106">
        <v>400000</v>
      </c>
      <c r="E153" s="106">
        <v>433000</v>
      </c>
      <c r="F153" s="117">
        <f t="shared" si="9"/>
        <v>833000</v>
      </c>
      <c r="G153" s="106">
        <v>418000</v>
      </c>
      <c r="H153" s="106">
        <v>400000</v>
      </c>
      <c r="I153" s="117">
        <f t="shared" si="10"/>
        <v>818000</v>
      </c>
    </row>
    <row r="154" spans="1:9">
      <c r="A154" s="119">
        <v>68</v>
      </c>
      <c r="B154" s="119">
        <v>8</v>
      </c>
      <c r="C154" s="125" t="s">
        <v>140</v>
      </c>
      <c r="D154" s="106">
        <v>561675</v>
      </c>
      <c r="E154" s="106">
        <v>1085000</v>
      </c>
      <c r="F154" s="117">
        <f t="shared" si="9"/>
        <v>1646675</v>
      </c>
      <c r="G154" s="106">
        <v>561675</v>
      </c>
      <c r="H154" s="106">
        <v>1085000</v>
      </c>
      <c r="I154" s="117">
        <f t="shared" si="10"/>
        <v>1646675</v>
      </c>
    </row>
    <row r="155" spans="1:9">
      <c r="A155" s="119">
        <v>69</v>
      </c>
      <c r="B155" s="119">
        <v>9</v>
      </c>
      <c r="C155" s="125" t="s">
        <v>141</v>
      </c>
      <c r="D155" s="106">
        <v>349000</v>
      </c>
      <c r="E155" s="106">
        <v>525000</v>
      </c>
      <c r="F155" s="117">
        <f t="shared" si="9"/>
        <v>874000</v>
      </c>
      <c r="G155" s="106">
        <v>349000</v>
      </c>
      <c r="H155" s="106">
        <v>525000</v>
      </c>
      <c r="I155" s="117">
        <f t="shared" si="10"/>
        <v>874000</v>
      </c>
    </row>
    <row r="156" spans="1:9">
      <c r="A156" s="119">
        <v>70</v>
      </c>
      <c r="B156" s="119">
        <v>10</v>
      </c>
      <c r="C156" s="125" t="s">
        <v>142</v>
      </c>
      <c r="D156" s="106">
        <v>357100</v>
      </c>
      <c r="E156" s="106">
        <v>107000</v>
      </c>
      <c r="F156" s="117">
        <f t="shared" si="9"/>
        <v>464100</v>
      </c>
      <c r="G156" s="106">
        <v>357100</v>
      </c>
      <c r="H156" s="106">
        <v>107000</v>
      </c>
      <c r="I156" s="117">
        <f t="shared" si="10"/>
        <v>464100</v>
      </c>
    </row>
    <row r="157" spans="1:9">
      <c r="A157" s="119">
        <v>71</v>
      </c>
      <c r="B157" s="119">
        <v>11</v>
      </c>
      <c r="C157" s="125" t="s">
        <v>143</v>
      </c>
      <c r="D157" s="106">
        <f>0</f>
        <v>0</v>
      </c>
      <c r="E157" s="106">
        <f>0</f>
        <v>0</v>
      </c>
      <c r="F157" s="117">
        <f t="shared" si="9"/>
        <v>0</v>
      </c>
      <c r="G157" s="106">
        <f>0</f>
        <v>0</v>
      </c>
      <c r="H157" s="106">
        <f>0</f>
        <v>0</v>
      </c>
      <c r="I157" s="117">
        <f t="shared" si="10"/>
        <v>0</v>
      </c>
    </row>
    <row r="158" spans="1:9">
      <c r="A158" s="119">
        <v>72</v>
      </c>
      <c r="B158" s="119">
        <v>12</v>
      </c>
      <c r="C158" s="125" t="s">
        <v>144</v>
      </c>
      <c r="D158" s="106">
        <v>255000</v>
      </c>
      <c r="E158" s="106">
        <v>829000</v>
      </c>
      <c r="F158" s="117">
        <f t="shared" si="9"/>
        <v>1084000</v>
      </c>
      <c r="G158" s="106">
        <v>255000</v>
      </c>
      <c r="H158" s="106">
        <v>829000</v>
      </c>
      <c r="I158" s="117">
        <f t="shared" si="10"/>
        <v>1084000</v>
      </c>
    </row>
    <row r="159" spans="1:9">
      <c r="A159" s="119">
        <v>73</v>
      </c>
      <c r="B159" s="119">
        <v>13</v>
      </c>
      <c r="C159" s="125" t="s">
        <v>145</v>
      </c>
      <c r="D159" s="106">
        <f>0</f>
        <v>0</v>
      </c>
      <c r="E159" s="106">
        <v>500000</v>
      </c>
      <c r="F159" s="117">
        <f t="shared" si="9"/>
        <v>500000</v>
      </c>
      <c r="G159" s="106">
        <f>0</f>
        <v>0</v>
      </c>
      <c r="H159" s="106">
        <v>500000</v>
      </c>
      <c r="I159" s="117">
        <f t="shared" si="10"/>
        <v>500000</v>
      </c>
    </row>
    <row r="160" spans="1:9">
      <c r="A160" s="119">
        <v>74</v>
      </c>
      <c r="B160" s="119">
        <v>14</v>
      </c>
      <c r="C160" s="129" t="s">
        <v>146</v>
      </c>
      <c r="D160" s="106">
        <f>0</f>
        <v>0</v>
      </c>
      <c r="E160" s="106">
        <f>0</f>
        <v>0</v>
      </c>
      <c r="F160" s="117">
        <f t="shared" si="9"/>
        <v>0</v>
      </c>
      <c r="G160" s="106">
        <f>0</f>
        <v>0</v>
      </c>
      <c r="H160" s="106">
        <f>0</f>
        <v>0</v>
      </c>
      <c r="I160" s="117">
        <f t="shared" si="10"/>
        <v>0</v>
      </c>
    </row>
    <row r="161" spans="1:9">
      <c r="A161" s="119">
        <v>75</v>
      </c>
      <c r="B161" s="119">
        <v>15</v>
      </c>
      <c r="C161" s="125" t="s">
        <v>147</v>
      </c>
      <c r="D161" s="106">
        <f>0</f>
        <v>0</v>
      </c>
      <c r="E161" s="106">
        <v>1091000</v>
      </c>
      <c r="F161" s="117">
        <f t="shared" si="9"/>
        <v>1091000</v>
      </c>
      <c r="G161" s="106">
        <f>0</f>
        <v>0</v>
      </c>
      <c r="H161" s="106">
        <v>1091000</v>
      </c>
      <c r="I161" s="117">
        <f t="shared" si="10"/>
        <v>1091000</v>
      </c>
    </row>
    <row r="162" spans="1:9">
      <c r="A162" s="119">
        <v>76</v>
      </c>
      <c r="B162" s="119">
        <v>16</v>
      </c>
      <c r="C162" s="125" t="s">
        <v>148</v>
      </c>
      <c r="D162" s="106">
        <f>0</f>
        <v>0</v>
      </c>
      <c r="E162" s="106">
        <f>0</f>
        <v>0</v>
      </c>
      <c r="F162" s="117">
        <f t="shared" si="9"/>
        <v>0</v>
      </c>
      <c r="G162" s="106">
        <f>0</f>
        <v>0</v>
      </c>
      <c r="H162" s="106">
        <v>2289000</v>
      </c>
      <c r="I162" s="117">
        <f t="shared" si="10"/>
        <v>2289000</v>
      </c>
    </row>
    <row r="163" spans="1:9">
      <c r="A163" s="119">
        <v>77</v>
      </c>
      <c r="B163" s="119">
        <v>17</v>
      </c>
      <c r="C163" s="125" t="s">
        <v>149</v>
      </c>
      <c r="D163" s="106">
        <f>0</f>
        <v>0</v>
      </c>
      <c r="E163" s="106">
        <v>763000</v>
      </c>
      <c r="F163" s="117">
        <f t="shared" si="9"/>
        <v>763000</v>
      </c>
      <c r="G163" s="106">
        <f>0</f>
        <v>0</v>
      </c>
      <c r="H163" s="106">
        <v>763000</v>
      </c>
      <c r="I163" s="117">
        <f t="shared" si="10"/>
        <v>763000</v>
      </c>
    </row>
    <row r="164" spans="1:9">
      <c r="A164" s="119">
        <v>78</v>
      </c>
      <c r="B164" s="119">
        <v>18</v>
      </c>
      <c r="C164" s="121" t="s">
        <v>150</v>
      </c>
      <c r="D164" s="106">
        <f>0</f>
        <v>0</v>
      </c>
      <c r="E164" s="106">
        <f>0</f>
        <v>0</v>
      </c>
      <c r="F164" s="117">
        <f t="shared" si="9"/>
        <v>0</v>
      </c>
      <c r="G164" s="106">
        <v>229042</v>
      </c>
      <c r="H164" s="106">
        <v>2773980</v>
      </c>
      <c r="I164" s="117">
        <f t="shared" si="10"/>
        <v>3003022</v>
      </c>
    </row>
    <row r="165" spans="1:9">
      <c r="A165" s="119">
        <v>79</v>
      </c>
      <c r="B165" s="119">
        <v>19</v>
      </c>
      <c r="C165" s="121" t="s">
        <v>151</v>
      </c>
      <c r="D165" s="106">
        <v>273000</v>
      </c>
      <c r="E165" s="106">
        <v>732200</v>
      </c>
      <c r="F165" s="117">
        <f t="shared" si="9"/>
        <v>1005200</v>
      </c>
      <c r="G165" s="106">
        <v>273000</v>
      </c>
      <c r="H165" s="106">
        <v>727500</v>
      </c>
      <c r="I165" s="117">
        <f t="shared" si="10"/>
        <v>1000500</v>
      </c>
    </row>
    <row r="166" spans="1:9">
      <c r="A166" s="119">
        <v>80</v>
      </c>
      <c r="B166" s="119">
        <v>20</v>
      </c>
      <c r="C166" s="121" t="s">
        <v>152</v>
      </c>
      <c r="D166" s="106">
        <v>309000</v>
      </c>
      <c r="E166" s="106">
        <v>698000</v>
      </c>
      <c r="F166" s="117">
        <f t="shared" si="9"/>
        <v>1007000</v>
      </c>
      <c r="G166" s="106">
        <v>309000</v>
      </c>
      <c r="H166" s="106">
        <v>698000</v>
      </c>
      <c r="I166" s="117">
        <f t="shared" si="10"/>
        <v>1007000</v>
      </c>
    </row>
    <row r="167" spans="1:9">
      <c r="A167" s="108" t="s">
        <v>58</v>
      </c>
      <c r="B167" s="109"/>
      <c r="C167" s="109"/>
      <c r="D167" s="110">
        <f>SUM(D147:D166)</f>
        <v>8082935</v>
      </c>
      <c r="E167" s="110">
        <f>SUM(E147:E166)</f>
        <v>12241500</v>
      </c>
      <c r="F167" s="110">
        <f>SUM(D167:E167)</f>
        <v>20324435</v>
      </c>
      <c r="G167" s="110">
        <f>SUM(G147:G166)</f>
        <v>5707077</v>
      </c>
      <c r="H167" s="110">
        <f>SUM(H147:H166)</f>
        <v>14444280</v>
      </c>
      <c r="I167" s="110">
        <f>SUM(G167:H167)</f>
        <v>20151357</v>
      </c>
    </row>
    <row r="168" spans="1:9">
      <c r="A168" s="108" t="s">
        <v>153</v>
      </c>
      <c r="B168" s="109"/>
      <c r="C168" s="109"/>
      <c r="D168" s="109"/>
      <c r="E168" s="109"/>
      <c r="F168" s="109"/>
      <c r="G168" s="109"/>
      <c r="H168" s="109"/>
      <c r="I168" s="113"/>
    </row>
    <row r="169" spans="1:9">
      <c r="A169" s="119">
        <v>81</v>
      </c>
      <c r="B169" s="119">
        <v>1</v>
      </c>
      <c r="C169" s="121" t="s">
        <v>154</v>
      </c>
      <c r="D169" s="106">
        <v>1328960</v>
      </c>
      <c r="E169" s="106">
        <v>108500</v>
      </c>
      <c r="F169" s="117">
        <f>SUM(D169:E169)</f>
        <v>1437460</v>
      </c>
      <c r="G169" s="106">
        <v>1328960</v>
      </c>
      <c r="H169" s="106">
        <v>108500</v>
      </c>
      <c r="I169" s="117">
        <f>SUM(G169:H169)</f>
        <v>1437460</v>
      </c>
    </row>
    <row r="170" spans="1:9">
      <c r="A170" s="119">
        <v>82</v>
      </c>
      <c r="B170" s="119">
        <v>2</v>
      </c>
      <c r="C170" s="121" t="s">
        <v>155</v>
      </c>
      <c r="D170" s="106">
        <f>0</f>
        <v>0</v>
      </c>
      <c r="E170" s="106">
        <v>30000</v>
      </c>
      <c r="F170" s="117">
        <f t="shared" ref="F170:F188" si="11">SUM(D170:E170)</f>
        <v>30000</v>
      </c>
      <c r="G170" s="106">
        <f>0</f>
        <v>0</v>
      </c>
      <c r="H170" s="106">
        <v>30000</v>
      </c>
      <c r="I170" s="117">
        <f t="shared" ref="I170:I191" si="12">SUM(G170:H170)</f>
        <v>30000</v>
      </c>
    </row>
    <row r="171" spans="1:9">
      <c r="A171" s="119">
        <v>83</v>
      </c>
      <c r="B171" s="119">
        <v>3</v>
      </c>
      <c r="C171" s="121" t="s">
        <v>156</v>
      </c>
      <c r="D171" s="106">
        <f>0</f>
        <v>0</v>
      </c>
      <c r="E171" s="106">
        <f>270000+45000</f>
        <v>315000</v>
      </c>
      <c r="F171" s="117">
        <f t="shared" si="11"/>
        <v>315000</v>
      </c>
      <c r="G171" s="106">
        <f>0</f>
        <v>0</v>
      </c>
      <c r="H171" s="106">
        <f>260000+45000</f>
        <v>305000</v>
      </c>
      <c r="I171" s="117">
        <f t="shared" si="12"/>
        <v>305000</v>
      </c>
    </row>
    <row r="172" spans="1:9">
      <c r="A172" s="119">
        <v>84</v>
      </c>
      <c r="B172" s="119">
        <v>4</v>
      </c>
      <c r="C172" s="121" t="s">
        <v>157</v>
      </c>
      <c r="D172" s="106">
        <f>0</f>
        <v>0</v>
      </c>
      <c r="E172" s="106">
        <f>0</f>
        <v>0</v>
      </c>
      <c r="F172" s="117">
        <f t="shared" si="11"/>
        <v>0</v>
      </c>
      <c r="G172" s="106">
        <f>0</f>
        <v>0</v>
      </c>
      <c r="H172" s="106">
        <f>0</f>
        <v>0</v>
      </c>
      <c r="I172" s="117">
        <f t="shared" si="12"/>
        <v>0</v>
      </c>
    </row>
    <row r="173" spans="1:9">
      <c r="A173" s="119">
        <v>85</v>
      </c>
      <c r="B173" s="119">
        <v>5</v>
      </c>
      <c r="C173" s="121" t="s">
        <v>158</v>
      </c>
      <c r="D173" s="106">
        <f>0</f>
        <v>0</v>
      </c>
      <c r="E173" s="106">
        <f>0</f>
        <v>0</v>
      </c>
      <c r="F173" s="117">
        <f t="shared" si="11"/>
        <v>0</v>
      </c>
      <c r="G173" s="106">
        <f>0</f>
        <v>0</v>
      </c>
      <c r="H173" s="106">
        <f>0</f>
        <v>0</v>
      </c>
      <c r="I173" s="117">
        <f t="shared" si="12"/>
        <v>0</v>
      </c>
    </row>
    <row r="174" spans="1:9">
      <c r="A174" s="119">
        <v>86</v>
      </c>
      <c r="B174" s="119">
        <v>6</v>
      </c>
      <c r="C174" s="125" t="s">
        <v>159</v>
      </c>
      <c r="D174" s="106">
        <v>20000000</v>
      </c>
      <c r="E174" s="106">
        <f>0</f>
        <v>0</v>
      </c>
      <c r="F174" s="117">
        <f t="shared" si="11"/>
        <v>20000000</v>
      </c>
      <c r="G174" s="106">
        <v>20000000</v>
      </c>
      <c r="H174" s="106">
        <f>0</f>
        <v>0</v>
      </c>
      <c r="I174" s="117">
        <f t="shared" si="12"/>
        <v>20000000</v>
      </c>
    </row>
    <row r="175" spans="1:9">
      <c r="A175" s="119">
        <v>87</v>
      </c>
      <c r="B175" s="119">
        <v>7</v>
      </c>
      <c r="C175" s="121" t="s">
        <v>160</v>
      </c>
      <c r="D175" s="106">
        <f>0</f>
        <v>0</v>
      </c>
      <c r="E175" s="106">
        <f>0</f>
        <v>0</v>
      </c>
      <c r="F175" s="117">
        <f t="shared" si="11"/>
        <v>0</v>
      </c>
      <c r="G175" s="106">
        <f>0</f>
        <v>0</v>
      </c>
      <c r="H175" s="106">
        <f>0</f>
        <v>0</v>
      </c>
      <c r="I175" s="117">
        <f t="shared" si="12"/>
        <v>0</v>
      </c>
    </row>
    <row r="176" spans="1:9">
      <c r="A176" s="119">
        <v>88</v>
      </c>
      <c r="B176" s="119">
        <v>8</v>
      </c>
      <c r="C176" s="121" t="s">
        <v>161</v>
      </c>
      <c r="D176" s="106">
        <f>0</f>
        <v>0</v>
      </c>
      <c r="E176" s="106">
        <f>0</f>
        <v>0</v>
      </c>
      <c r="F176" s="117">
        <f t="shared" si="11"/>
        <v>0</v>
      </c>
      <c r="G176" s="106">
        <f>0</f>
        <v>0</v>
      </c>
      <c r="H176" s="106">
        <f>0</f>
        <v>0</v>
      </c>
      <c r="I176" s="117">
        <f t="shared" si="12"/>
        <v>0</v>
      </c>
    </row>
    <row r="177" spans="1:9">
      <c r="A177" s="119">
        <v>89</v>
      </c>
      <c r="B177" s="119">
        <v>9</v>
      </c>
      <c r="C177" s="121" t="s">
        <v>162</v>
      </c>
      <c r="D177" s="106">
        <f>0</f>
        <v>0</v>
      </c>
      <c r="E177" s="106">
        <f>0</f>
        <v>0</v>
      </c>
      <c r="F177" s="117">
        <f t="shared" si="11"/>
        <v>0</v>
      </c>
      <c r="G177" s="106">
        <f>0</f>
        <v>0</v>
      </c>
      <c r="H177" s="106">
        <f>0</f>
        <v>0</v>
      </c>
      <c r="I177" s="117">
        <f t="shared" si="12"/>
        <v>0</v>
      </c>
    </row>
    <row r="178" spans="1:9">
      <c r="A178" s="119">
        <v>90</v>
      </c>
      <c r="B178" s="119">
        <v>10</v>
      </c>
      <c r="C178" s="121" t="s">
        <v>163</v>
      </c>
      <c r="D178" s="106">
        <f>0</f>
        <v>0</v>
      </c>
      <c r="E178" s="106">
        <f>0</f>
        <v>0</v>
      </c>
      <c r="F178" s="117">
        <f t="shared" si="11"/>
        <v>0</v>
      </c>
      <c r="G178" s="106">
        <f>0</f>
        <v>0</v>
      </c>
      <c r="H178" s="106">
        <f>0</f>
        <v>0</v>
      </c>
      <c r="I178" s="117">
        <f t="shared" si="12"/>
        <v>0</v>
      </c>
    </row>
    <row r="179" spans="1:9">
      <c r="A179" s="119">
        <v>91</v>
      </c>
      <c r="B179" s="119">
        <v>11</v>
      </c>
      <c r="C179" s="121" t="s">
        <v>164</v>
      </c>
      <c r="D179" s="106">
        <v>9053359</v>
      </c>
      <c r="E179" s="106">
        <f>0</f>
        <v>0</v>
      </c>
      <c r="F179" s="117">
        <f t="shared" si="11"/>
        <v>9053359</v>
      </c>
      <c r="G179" s="106">
        <f>10150416+10147373</f>
        <v>20297789</v>
      </c>
      <c r="H179" s="106">
        <f>0</f>
        <v>0</v>
      </c>
      <c r="I179" s="117">
        <f t="shared" si="12"/>
        <v>20297789</v>
      </c>
    </row>
    <row r="180" spans="1:9">
      <c r="A180" s="119">
        <v>92</v>
      </c>
      <c r="B180" s="119">
        <v>12</v>
      </c>
      <c r="C180" s="121" t="s">
        <v>165</v>
      </c>
      <c r="D180" s="106">
        <f>0</f>
        <v>0</v>
      </c>
      <c r="E180" s="106">
        <f>0</f>
        <v>0</v>
      </c>
      <c r="F180" s="117">
        <f t="shared" si="11"/>
        <v>0</v>
      </c>
      <c r="G180" s="106">
        <f>0</f>
        <v>0</v>
      </c>
      <c r="H180" s="106">
        <f>0</f>
        <v>0</v>
      </c>
      <c r="I180" s="117">
        <f t="shared" si="12"/>
        <v>0</v>
      </c>
    </row>
    <row r="181" spans="1:9">
      <c r="A181" s="119">
        <v>93</v>
      </c>
      <c r="B181" s="119">
        <v>13</v>
      </c>
      <c r="C181" s="121" t="s">
        <v>166</v>
      </c>
      <c r="D181" s="106">
        <f>0</f>
        <v>0</v>
      </c>
      <c r="E181" s="106">
        <f>83000+83000</f>
        <v>166000</v>
      </c>
      <c r="F181" s="117">
        <f t="shared" si="11"/>
        <v>166000</v>
      </c>
      <c r="G181" s="106">
        <f>0</f>
        <v>0</v>
      </c>
      <c r="H181" s="106">
        <f>0</f>
        <v>0</v>
      </c>
      <c r="I181" s="117">
        <f t="shared" si="12"/>
        <v>0</v>
      </c>
    </row>
    <row r="182" spans="1:9">
      <c r="A182" s="119">
        <v>94</v>
      </c>
      <c r="B182" s="119">
        <v>14</v>
      </c>
      <c r="C182" s="121" t="s">
        <v>167</v>
      </c>
      <c r="D182" s="106">
        <f>0</f>
        <v>0</v>
      </c>
      <c r="E182" s="106">
        <v>73000</v>
      </c>
      <c r="F182" s="117">
        <f t="shared" si="11"/>
        <v>73000</v>
      </c>
      <c r="G182" s="106">
        <v>1753750</v>
      </c>
      <c r="H182" s="106">
        <v>71500</v>
      </c>
      <c r="I182" s="117">
        <f t="shared" si="12"/>
        <v>1825250</v>
      </c>
    </row>
    <row r="183" spans="1:9">
      <c r="A183" s="119">
        <v>95</v>
      </c>
      <c r="B183" s="119">
        <v>15</v>
      </c>
      <c r="C183" s="121" t="s">
        <v>168</v>
      </c>
      <c r="D183" s="106">
        <v>458000</v>
      </c>
      <c r="E183" s="106">
        <v>400000</v>
      </c>
      <c r="F183" s="117">
        <f t="shared" si="11"/>
        <v>858000</v>
      </c>
      <c r="G183" s="106">
        <v>458000</v>
      </c>
      <c r="H183" s="106">
        <v>400000</v>
      </c>
      <c r="I183" s="117">
        <f t="shared" si="12"/>
        <v>858000</v>
      </c>
    </row>
    <row r="184" spans="1:9">
      <c r="A184" s="119">
        <v>96</v>
      </c>
      <c r="B184" s="119">
        <v>16</v>
      </c>
      <c r="C184" s="121" t="s">
        <v>169</v>
      </c>
      <c r="D184" s="106">
        <v>997100</v>
      </c>
      <c r="E184" s="106">
        <f>340000+404000</f>
        <v>744000</v>
      </c>
      <c r="F184" s="117">
        <f t="shared" si="11"/>
        <v>1741100</v>
      </c>
      <c r="G184" s="106">
        <v>997100</v>
      </c>
      <c r="H184" s="106">
        <f>340000+403000</f>
        <v>743000</v>
      </c>
      <c r="I184" s="117">
        <f t="shared" si="12"/>
        <v>1740100</v>
      </c>
    </row>
    <row r="185" spans="1:9">
      <c r="A185" s="119">
        <v>97</v>
      </c>
      <c r="B185" s="119">
        <v>17</v>
      </c>
      <c r="C185" s="121" t="s">
        <v>170</v>
      </c>
      <c r="D185" s="106">
        <f>0</f>
        <v>0</v>
      </c>
      <c r="E185" s="106">
        <f>0</f>
        <v>0</v>
      </c>
      <c r="F185" s="117">
        <f t="shared" si="11"/>
        <v>0</v>
      </c>
      <c r="G185" s="106">
        <f>0</f>
        <v>0</v>
      </c>
      <c r="H185" s="106">
        <f>0</f>
        <v>0</v>
      </c>
      <c r="I185" s="117">
        <f t="shared" si="12"/>
        <v>0</v>
      </c>
    </row>
    <row r="186" spans="1:9">
      <c r="A186" s="119">
        <v>98</v>
      </c>
      <c r="B186" s="119">
        <v>18</v>
      </c>
      <c r="C186" s="121" t="s">
        <v>171</v>
      </c>
      <c r="D186" s="106">
        <f>0</f>
        <v>0</v>
      </c>
      <c r="E186" s="106">
        <f>0</f>
        <v>0</v>
      </c>
      <c r="F186" s="117">
        <f t="shared" si="11"/>
        <v>0</v>
      </c>
      <c r="G186" s="106">
        <f>0</f>
        <v>0</v>
      </c>
      <c r="H186" s="106">
        <f>0</f>
        <v>0</v>
      </c>
      <c r="I186" s="117">
        <f t="shared" si="12"/>
        <v>0</v>
      </c>
    </row>
    <row r="187" spans="1:9">
      <c r="A187" s="119">
        <v>99</v>
      </c>
      <c r="B187" s="119">
        <v>19</v>
      </c>
      <c r="C187" s="121" t="s">
        <v>172</v>
      </c>
      <c r="D187" s="106">
        <f>0</f>
        <v>0</v>
      </c>
      <c r="E187" s="106">
        <f>0</f>
        <v>0</v>
      </c>
      <c r="F187" s="117">
        <f t="shared" si="11"/>
        <v>0</v>
      </c>
      <c r="G187" s="106">
        <f>0</f>
        <v>0</v>
      </c>
      <c r="H187" s="106">
        <f>0</f>
        <v>0</v>
      </c>
      <c r="I187" s="117">
        <f t="shared" si="12"/>
        <v>0</v>
      </c>
    </row>
    <row r="188" spans="1:9">
      <c r="A188" s="119">
        <v>100</v>
      </c>
      <c r="B188" s="119">
        <v>20</v>
      </c>
      <c r="C188" s="121" t="s">
        <v>173</v>
      </c>
      <c r="D188" s="106">
        <f>0</f>
        <v>0</v>
      </c>
      <c r="E188" s="106">
        <f>0</f>
        <v>0</v>
      </c>
      <c r="F188" s="117">
        <f t="shared" si="11"/>
        <v>0</v>
      </c>
      <c r="G188" s="106">
        <f>0</f>
        <v>0</v>
      </c>
      <c r="H188" s="106">
        <f>0</f>
        <v>0</v>
      </c>
      <c r="I188" s="117">
        <f t="shared" si="12"/>
        <v>0</v>
      </c>
    </row>
    <row r="189" spans="1:9">
      <c r="A189" s="119">
        <v>101</v>
      </c>
      <c r="B189" s="119">
        <v>21</v>
      </c>
      <c r="C189" s="121" t="s">
        <v>174</v>
      </c>
      <c r="D189" s="106">
        <f>0</f>
        <v>0</v>
      </c>
      <c r="E189" s="106">
        <f>0</f>
        <v>0</v>
      </c>
      <c r="F189" s="117">
        <f>SUM(D189:E189)</f>
        <v>0</v>
      </c>
      <c r="G189" s="106">
        <f>0</f>
        <v>0</v>
      </c>
      <c r="H189" s="106">
        <f>0</f>
        <v>0</v>
      </c>
      <c r="I189" s="117">
        <f>SUM(G189:H189)</f>
        <v>0</v>
      </c>
    </row>
    <row r="190" spans="1:9">
      <c r="A190" s="119">
        <v>102</v>
      </c>
      <c r="B190" s="119">
        <v>22</v>
      </c>
      <c r="C190" s="121" t="s">
        <v>175</v>
      </c>
      <c r="D190" s="106">
        <f>0</f>
        <v>0</v>
      </c>
      <c r="E190" s="106">
        <f>0</f>
        <v>0</v>
      </c>
      <c r="F190" s="117">
        <f>SUM(D190:E190)</f>
        <v>0</v>
      </c>
      <c r="G190" s="106">
        <f>0</f>
        <v>0</v>
      </c>
      <c r="H190" s="106">
        <f>0</f>
        <v>0</v>
      </c>
      <c r="I190" s="117">
        <f t="shared" si="12"/>
        <v>0</v>
      </c>
    </row>
    <row r="191" spans="1:9">
      <c r="A191" s="119">
        <v>103</v>
      </c>
      <c r="B191" s="119">
        <v>23</v>
      </c>
      <c r="C191" s="121" t="s">
        <v>176</v>
      </c>
      <c r="D191" s="106">
        <f>0</f>
        <v>0</v>
      </c>
      <c r="E191" s="106">
        <f>0</f>
        <v>0</v>
      </c>
      <c r="F191" s="117">
        <f>SUM(D191:E191)</f>
        <v>0</v>
      </c>
      <c r="G191" s="106">
        <f>0</f>
        <v>0</v>
      </c>
      <c r="H191" s="106">
        <f>0</f>
        <v>0</v>
      </c>
      <c r="I191" s="117">
        <f t="shared" si="12"/>
        <v>0</v>
      </c>
    </row>
    <row r="192" spans="1:9">
      <c r="A192" s="108" t="s">
        <v>58</v>
      </c>
      <c r="B192" s="109"/>
      <c r="C192" s="109"/>
      <c r="D192" s="110">
        <f>SUM(D169:D191)</f>
        <v>31837419</v>
      </c>
      <c r="E192" s="110">
        <f>SUM(E169:E191)</f>
        <v>1836500</v>
      </c>
      <c r="F192" s="110">
        <f>SUM(D192:E192)</f>
        <v>33673919</v>
      </c>
      <c r="G192" s="110">
        <f>SUM(G169:G191)</f>
        <v>44835599</v>
      </c>
      <c r="H192" s="110">
        <f>SUM(H169:H191)</f>
        <v>1658000</v>
      </c>
      <c r="I192" s="110">
        <f>SUM(G192:H192)</f>
        <v>46493599</v>
      </c>
    </row>
    <row r="193" spans="1:9">
      <c r="A193" s="108" t="s">
        <v>177</v>
      </c>
      <c r="B193" s="109"/>
      <c r="C193" s="109"/>
      <c r="D193" s="109"/>
      <c r="E193" s="109"/>
      <c r="F193" s="109"/>
      <c r="G193" s="109"/>
      <c r="H193" s="109"/>
      <c r="I193" s="113"/>
    </row>
    <row r="194" spans="1:9">
      <c r="A194" s="119">
        <v>104</v>
      </c>
      <c r="B194" s="119">
        <v>1</v>
      </c>
      <c r="C194" s="105" t="s">
        <v>178</v>
      </c>
      <c r="D194" s="106">
        <f>0</f>
        <v>0</v>
      </c>
      <c r="E194" s="106">
        <f>0</f>
        <v>0</v>
      </c>
      <c r="F194" s="117">
        <f>SUM(D194:E194)</f>
        <v>0</v>
      </c>
      <c r="G194" s="106">
        <f>0</f>
        <v>0</v>
      </c>
      <c r="H194" s="106">
        <f>0</f>
        <v>0</v>
      </c>
      <c r="I194" s="117">
        <f>SUM(G194:H194)</f>
        <v>0</v>
      </c>
    </row>
    <row r="195" spans="1:9">
      <c r="A195" s="119">
        <v>105</v>
      </c>
      <c r="B195" s="119">
        <v>2</v>
      </c>
      <c r="C195" s="120" t="s">
        <v>179</v>
      </c>
      <c r="D195" s="106">
        <v>255201</v>
      </c>
      <c r="E195" s="106">
        <v>72200</v>
      </c>
      <c r="F195" s="117">
        <f t="shared" ref="F195:F244" si="13">SUM(D195:E195)</f>
        <v>327401</v>
      </c>
      <c r="G195" s="106">
        <v>255201</v>
      </c>
      <c r="H195" s="106">
        <v>74100</v>
      </c>
      <c r="I195" s="117">
        <f t="shared" ref="I195:I244" si="14">SUM(G195:H195)</f>
        <v>329301</v>
      </c>
    </row>
    <row r="196" spans="1:9">
      <c r="A196" s="119">
        <v>106</v>
      </c>
      <c r="B196" s="119">
        <v>3</v>
      </c>
      <c r="C196" s="120" t="s">
        <v>180</v>
      </c>
      <c r="D196" s="106">
        <f>0</f>
        <v>0</v>
      </c>
      <c r="E196" s="106">
        <f>0</f>
        <v>0</v>
      </c>
      <c r="F196" s="117">
        <f t="shared" si="13"/>
        <v>0</v>
      </c>
      <c r="G196" s="106">
        <f>0</f>
        <v>0</v>
      </c>
      <c r="H196" s="106">
        <f>103000+103000+103000+103000</f>
        <v>412000</v>
      </c>
      <c r="I196" s="117">
        <f t="shared" si="14"/>
        <v>412000</v>
      </c>
    </row>
    <row r="197" spans="1:9">
      <c r="A197" s="119">
        <v>107</v>
      </c>
      <c r="B197" s="119">
        <v>4</v>
      </c>
      <c r="C197" s="105" t="s">
        <v>181</v>
      </c>
      <c r="D197" s="106">
        <v>1317100</v>
      </c>
      <c r="E197" s="106">
        <v>168000</v>
      </c>
      <c r="F197" s="117">
        <f t="shared" si="13"/>
        <v>1485100</v>
      </c>
      <c r="G197" s="106">
        <v>242000</v>
      </c>
      <c r="H197" s="106">
        <f>0</f>
        <v>0</v>
      </c>
      <c r="I197" s="117">
        <f t="shared" si="14"/>
        <v>242000</v>
      </c>
    </row>
    <row r="198" spans="1:9">
      <c r="A198" s="119">
        <v>108</v>
      </c>
      <c r="B198" s="119">
        <v>5</v>
      </c>
      <c r="C198" s="130" t="s">
        <v>182</v>
      </c>
      <c r="D198" s="106">
        <f>0</f>
        <v>0</v>
      </c>
      <c r="E198" s="106">
        <f>0</f>
        <v>0</v>
      </c>
      <c r="F198" s="117">
        <f t="shared" si="13"/>
        <v>0</v>
      </c>
      <c r="G198" s="106">
        <f>0</f>
        <v>0</v>
      </c>
      <c r="H198" s="106">
        <f>0</f>
        <v>0</v>
      </c>
      <c r="I198" s="117">
        <f t="shared" si="14"/>
        <v>0</v>
      </c>
    </row>
    <row r="199" spans="1:9">
      <c r="A199" s="119">
        <v>109</v>
      </c>
      <c r="B199" s="119">
        <v>6</v>
      </c>
      <c r="C199" s="130" t="s">
        <v>183</v>
      </c>
      <c r="D199" s="106">
        <f>190075+190075</f>
        <v>380150</v>
      </c>
      <c r="E199" s="106">
        <f>350000+345000</f>
        <v>695000</v>
      </c>
      <c r="F199" s="117">
        <f t="shared" si="13"/>
        <v>1075150</v>
      </c>
      <c r="G199" s="106">
        <f>0</f>
        <v>0</v>
      </c>
      <c r="H199" s="106">
        <f>0</f>
        <v>0</v>
      </c>
      <c r="I199" s="117">
        <f t="shared" si="14"/>
        <v>0</v>
      </c>
    </row>
    <row r="200" spans="1:9">
      <c r="A200" s="119">
        <v>110</v>
      </c>
      <c r="B200" s="119">
        <v>7</v>
      </c>
      <c r="C200" s="130" t="s">
        <v>184</v>
      </c>
      <c r="D200" s="106">
        <f>442800+442800</f>
        <v>885600</v>
      </c>
      <c r="E200" s="106">
        <f>361500+361500</f>
        <v>723000</v>
      </c>
      <c r="F200" s="117">
        <f t="shared" si="13"/>
        <v>1608600</v>
      </c>
      <c r="G200" s="106">
        <f>0</f>
        <v>0</v>
      </c>
      <c r="H200" s="106">
        <f>0</f>
        <v>0</v>
      </c>
      <c r="I200" s="117">
        <f t="shared" si="14"/>
        <v>0</v>
      </c>
    </row>
    <row r="201" spans="1:9">
      <c r="A201" s="119">
        <v>111</v>
      </c>
      <c r="B201" s="119">
        <v>8</v>
      </c>
      <c r="C201" s="130" t="s">
        <v>185</v>
      </c>
      <c r="D201" s="106">
        <f>0</f>
        <v>0</v>
      </c>
      <c r="E201" s="106">
        <f>0</f>
        <v>0</v>
      </c>
      <c r="F201" s="117">
        <f t="shared" si="13"/>
        <v>0</v>
      </c>
      <c r="G201" s="106">
        <f>0</f>
        <v>0</v>
      </c>
      <c r="H201" s="106">
        <f>0</f>
        <v>0</v>
      </c>
      <c r="I201" s="117">
        <f t="shared" si="14"/>
        <v>0</v>
      </c>
    </row>
    <row r="202" spans="1:9">
      <c r="A202" s="119">
        <v>112</v>
      </c>
      <c r="B202" s="119">
        <v>9</v>
      </c>
      <c r="C202" s="130" t="s">
        <v>186</v>
      </c>
      <c r="D202" s="106">
        <f>0</f>
        <v>0</v>
      </c>
      <c r="E202" s="106">
        <f>0</f>
        <v>0</v>
      </c>
      <c r="F202" s="117">
        <f t="shared" si="13"/>
        <v>0</v>
      </c>
      <c r="G202" s="106">
        <f>0</f>
        <v>0</v>
      </c>
      <c r="H202" s="106">
        <f>0</f>
        <v>0</v>
      </c>
      <c r="I202" s="117">
        <f t="shared" si="14"/>
        <v>0</v>
      </c>
    </row>
    <row r="203" spans="1:9">
      <c r="A203" s="119">
        <v>113</v>
      </c>
      <c r="B203" s="119">
        <v>10</v>
      </c>
      <c r="C203" s="130" t="s">
        <v>187</v>
      </c>
      <c r="D203" s="106">
        <f>0</f>
        <v>0</v>
      </c>
      <c r="E203" s="106">
        <f>0</f>
        <v>0</v>
      </c>
      <c r="F203" s="117">
        <f t="shared" si="13"/>
        <v>0</v>
      </c>
      <c r="G203" s="106">
        <f>0</f>
        <v>0</v>
      </c>
      <c r="H203" s="106">
        <f>317000+322000</f>
        <v>639000</v>
      </c>
      <c r="I203" s="117">
        <f t="shared" si="14"/>
        <v>639000</v>
      </c>
    </row>
    <row r="204" spans="1:9">
      <c r="A204" s="119">
        <v>114</v>
      </c>
      <c r="B204" s="119">
        <v>11</v>
      </c>
      <c r="C204" s="130" t="s">
        <v>188</v>
      </c>
      <c r="D204" s="106">
        <f>0</f>
        <v>0</v>
      </c>
      <c r="E204" s="106">
        <f>0</f>
        <v>0</v>
      </c>
      <c r="F204" s="117">
        <f t="shared" si="13"/>
        <v>0</v>
      </c>
      <c r="G204" s="106">
        <f>0</f>
        <v>0</v>
      </c>
      <c r="H204" s="106">
        <f>0</f>
        <v>0</v>
      </c>
      <c r="I204" s="117">
        <f t="shared" si="14"/>
        <v>0</v>
      </c>
    </row>
    <row r="205" spans="1:9">
      <c r="A205" s="119">
        <v>115</v>
      </c>
      <c r="B205" s="119">
        <v>12</v>
      </c>
      <c r="C205" s="130" t="s">
        <v>189</v>
      </c>
      <c r="D205" s="106">
        <f>0</f>
        <v>0</v>
      </c>
      <c r="E205" s="106">
        <f>0</f>
        <v>0</v>
      </c>
      <c r="F205" s="117">
        <f t="shared" si="13"/>
        <v>0</v>
      </c>
      <c r="G205" s="106">
        <f>0</f>
        <v>0</v>
      </c>
      <c r="H205" s="106">
        <f>0</f>
        <v>0</v>
      </c>
      <c r="I205" s="117">
        <f t="shared" si="14"/>
        <v>0</v>
      </c>
    </row>
    <row r="206" spans="1:9">
      <c r="A206" s="119">
        <v>116</v>
      </c>
      <c r="B206" s="119">
        <v>13</v>
      </c>
      <c r="C206" s="130" t="s">
        <v>190</v>
      </c>
      <c r="D206" s="106">
        <f>0</f>
        <v>0</v>
      </c>
      <c r="E206" s="106">
        <f>0</f>
        <v>0</v>
      </c>
      <c r="F206" s="117">
        <f t="shared" si="13"/>
        <v>0</v>
      </c>
      <c r="G206" s="106">
        <v>989800</v>
      </c>
      <c r="H206" s="106">
        <v>1125000</v>
      </c>
      <c r="I206" s="117">
        <f t="shared" si="14"/>
        <v>2114800</v>
      </c>
    </row>
    <row r="207" spans="1:9">
      <c r="A207" s="119">
        <v>117</v>
      </c>
      <c r="B207" s="119">
        <v>14</v>
      </c>
      <c r="C207" s="130" t="s">
        <v>191</v>
      </c>
      <c r="D207" s="106">
        <v>400000</v>
      </c>
      <c r="E207" s="106">
        <v>340000</v>
      </c>
      <c r="F207" s="117">
        <f t="shared" si="13"/>
        <v>740000</v>
      </c>
      <c r="G207" s="106">
        <f>0</f>
        <v>0</v>
      </c>
      <c r="H207" s="106">
        <f>0</f>
        <v>0</v>
      </c>
      <c r="I207" s="117">
        <f t="shared" si="14"/>
        <v>0</v>
      </c>
    </row>
    <row r="208" spans="1:9">
      <c r="A208" s="119">
        <v>118</v>
      </c>
      <c r="B208" s="119">
        <v>15</v>
      </c>
      <c r="C208" s="130" t="s">
        <v>192</v>
      </c>
      <c r="D208" s="106">
        <f>0</f>
        <v>0</v>
      </c>
      <c r="E208" s="106">
        <v>28000</v>
      </c>
      <c r="F208" s="117">
        <f t="shared" si="13"/>
        <v>28000</v>
      </c>
      <c r="G208" s="106">
        <f>0</f>
        <v>0</v>
      </c>
      <c r="H208" s="106">
        <v>28000</v>
      </c>
      <c r="I208" s="117">
        <f t="shared" si="14"/>
        <v>28000</v>
      </c>
    </row>
    <row r="209" spans="1:9">
      <c r="A209" s="119">
        <v>119</v>
      </c>
      <c r="B209" s="119">
        <v>16</v>
      </c>
      <c r="C209" s="130" t="s">
        <v>193</v>
      </c>
      <c r="D209" s="106">
        <f>0</f>
        <v>0</v>
      </c>
      <c r="E209" s="106">
        <f>0</f>
        <v>0</v>
      </c>
      <c r="F209" s="117">
        <f t="shared" si="13"/>
        <v>0</v>
      </c>
      <c r="G209" s="106">
        <f>0</f>
        <v>0</v>
      </c>
      <c r="H209" s="106">
        <f>0</f>
        <v>0</v>
      </c>
      <c r="I209" s="117">
        <f t="shared" si="14"/>
        <v>0</v>
      </c>
    </row>
    <row r="210" spans="1:9">
      <c r="A210" s="119">
        <v>120</v>
      </c>
      <c r="B210" s="119">
        <v>17</v>
      </c>
      <c r="C210" s="130" t="s">
        <v>194</v>
      </c>
      <c r="D210" s="106">
        <f>0</f>
        <v>0</v>
      </c>
      <c r="E210" s="106">
        <v>27000</v>
      </c>
      <c r="F210" s="117">
        <f t="shared" si="13"/>
        <v>27000</v>
      </c>
      <c r="G210" s="106">
        <f>0</f>
        <v>0</v>
      </c>
      <c r="H210" s="106">
        <v>27000</v>
      </c>
      <c r="I210" s="117">
        <f t="shared" si="14"/>
        <v>27000</v>
      </c>
    </row>
    <row r="211" spans="1:9">
      <c r="A211" s="119">
        <v>121</v>
      </c>
      <c r="B211" s="119">
        <v>18</v>
      </c>
      <c r="C211" s="130" t="s">
        <v>195</v>
      </c>
      <c r="D211" s="106">
        <f>0</f>
        <v>0</v>
      </c>
      <c r="E211" s="106">
        <f>0</f>
        <v>0</v>
      </c>
      <c r="F211" s="117">
        <f t="shared" si="13"/>
        <v>0</v>
      </c>
      <c r="G211" s="106">
        <f>0</f>
        <v>0</v>
      </c>
      <c r="H211" s="106">
        <f>0</f>
        <v>0</v>
      </c>
      <c r="I211" s="117">
        <f t="shared" si="14"/>
        <v>0</v>
      </c>
    </row>
    <row r="212" spans="1:9">
      <c r="A212" s="119">
        <v>122</v>
      </c>
      <c r="B212" s="119">
        <v>19</v>
      </c>
      <c r="C212" s="130" t="s">
        <v>196</v>
      </c>
      <c r="D212" s="106">
        <f>0</f>
        <v>0</v>
      </c>
      <c r="E212" s="106">
        <v>197000</v>
      </c>
      <c r="F212" s="117">
        <f t="shared" si="13"/>
        <v>197000</v>
      </c>
      <c r="G212" s="106">
        <f>0</f>
        <v>0</v>
      </c>
      <c r="H212" s="106">
        <v>197000</v>
      </c>
      <c r="I212" s="117">
        <f t="shared" si="14"/>
        <v>197000</v>
      </c>
    </row>
    <row r="213" spans="1:9">
      <c r="A213" s="119">
        <v>123</v>
      </c>
      <c r="B213" s="119">
        <v>20</v>
      </c>
      <c r="C213" s="130" t="s">
        <v>197</v>
      </c>
      <c r="D213" s="106">
        <f>0</f>
        <v>0</v>
      </c>
      <c r="E213" s="106">
        <f>0</f>
        <v>0</v>
      </c>
      <c r="F213" s="117">
        <f t="shared" si="13"/>
        <v>0</v>
      </c>
      <c r="G213" s="106">
        <f>0</f>
        <v>0</v>
      </c>
      <c r="H213" s="106">
        <f>116000+116000</f>
        <v>232000</v>
      </c>
      <c r="I213" s="117">
        <f t="shared" si="14"/>
        <v>232000</v>
      </c>
    </row>
    <row r="214" spans="1:9">
      <c r="A214" s="119">
        <v>124</v>
      </c>
      <c r="B214" s="119">
        <v>21</v>
      </c>
      <c r="C214" s="130" t="s">
        <v>198</v>
      </c>
      <c r="D214" s="106">
        <v>85000</v>
      </c>
      <c r="E214" s="106">
        <v>140000</v>
      </c>
      <c r="F214" s="117">
        <f t="shared" si="13"/>
        <v>225000</v>
      </c>
      <c r="G214" s="106">
        <v>85000</v>
      </c>
      <c r="H214" s="106">
        <v>140000</v>
      </c>
      <c r="I214" s="117">
        <f t="shared" si="14"/>
        <v>225000</v>
      </c>
    </row>
    <row r="215" spans="1:9">
      <c r="A215" s="119">
        <v>125</v>
      </c>
      <c r="B215" s="119">
        <v>22</v>
      </c>
      <c r="C215" s="130" t="s">
        <v>199</v>
      </c>
      <c r="D215" s="106">
        <f>0</f>
        <v>0</v>
      </c>
      <c r="E215" s="106">
        <v>192500</v>
      </c>
      <c r="F215" s="117">
        <f t="shared" si="13"/>
        <v>192500</v>
      </c>
      <c r="G215" s="106">
        <f>0</f>
        <v>0</v>
      </c>
      <c r="H215" s="106">
        <v>192500</v>
      </c>
      <c r="I215" s="117">
        <f t="shared" si="14"/>
        <v>192500</v>
      </c>
    </row>
    <row r="216" spans="1:9">
      <c r="A216" s="119">
        <v>126</v>
      </c>
      <c r="B216" s="119">
        <v>23</v>
      </c>
      <c r="C216" s="130" t="s">
        <v>200</v>
      </c>
      <c r="D216" s="106">
        <f>0</f>
        <v>0</v>
      </c>
      <c r="E216" s="106">
        <f>0</f>
        <v>0</v>
      </c>
      <c r="F216" s="117">
        <f t="shared" si="13"/>
        <v>0</v>
      </c>
      <c r="G216" s="106">
        <f>0</f>
        <v>0</v>
      </c>
      <c r="H216" s="106">
        <f>0</f>
        <v>0</v>
      </c>
      <c r="I216" s="117">
        <f t="shared" si="14"/>
        <v>0</v>
      </c>
    </row>
    <row r="217" spans="1:9">
      <c r="A217" s="119">
        <v>127</v>
      </c>
      <c r="B217" s="119">
        <v>24</v>
      </c>
      <c r="C217" s="130" t="s">
        <v>201</v>
      </c>
      <c r="D217" s="106">
        <v>79000</v>
      </c>
      <c r="E217" s="106">
        <v>665000</v>
      </c>
      <c r="F217" s="117">
        <f t="shared" si="13"/>
        <v>744000</v>
      </c>
      <c r="G217" s="106">
        <f>0</f>
        <v>0</v>
      </c>
      <c r="H217" s="106">
        <f>0</f>
        <v>0</v>
      </c>
      <c r="I217" s="117">
        <f t="shared" si="14"/>
        <v>0</v>
      </c>
    </row>
    <row r="218" spans="1:9">
      <c r="A218" s="119">
        <v>128</v>
      </c>
      <c r="B218" s="119">
        <v>25</v>
      </c>
      <c r="C218" s="130" t="s">
        <v>202</v>
      </c>
      <c r="D218" s="106">
        <v>242000</v>
      </c>
      <c r="E218" s="106">
        <f>0</f>
        <v>0</v>
      </c>
      <c r="F218" s="117">
        <f t="shared" si="13"/>
        <v>242000</v>
      </c>
      <c r="G218" s="106">
        <f>0</f>
        <v>0</v>
      </c>
      <c r="H218" s="106">
        <f>0</f>
        <v>0</v>
      </c>
      <c r="I218" s="117">
        <f t="shared" si="14"/>
        <v>0</v>
      </c>
    </row>
    <row r="219" spans="1:9">
      <c r="A219" s="119">
        <v>129</v>
      </c>
      <c r="B219" s="119">
        <v>26</v>
      </c>
      <c r="C219" s="130" t="s">
        <v>203</v>
      </c>
      <c r="D219" s="106">
        <f>0</f>
        <v>0</v>
      </c>
      <c r="E219" s="106">
        <f>0</f>
        <v>0</v>
      </c>
      <c r="F219" s="117">
        <f t="shared" si="13"/>
        <v>0</v>
      </c>
      <c r="G219" s="106">
        <f>0</f>
        <v>0</v>
      </c>
      <c r="H219" s="106">
        <f>0</f>
        <v>0</v>
      </c>
      <c r="I219" s="117">
        <f t="shared" si="14"/>
        <v>0</v>
      </c>
    </row>
    <row r="220" spans="1:9">
      <c r="A220" s="119">
        <v>130</v>
      </c>
      <c r="B220" s="119">
        <v>27</v>
      </c>
      <c r="C220" s="130" t="s">
        <v>204</v>
      </c>
      <c r="D220" s="106">
        <v>1000000</v>
      </c>
      <c r="E220" s="106">
        <f>0</f>
        <v>0</v>
      </c>
      <c r="F220" s="117">
        <f t="shared" si="13"/>
        <v>1000000</v>
      </c>
      <c r="G220" s="106">
        <v>1000000</v>
      </c>
      <c r="H220" s="106">
        <f>0</f>
        <v>0</v>
      </c>
      <c r="I220" s="117">
        <f t="shared" si="14"/>
        <v>1000000</v>
      </c>
    </row>
    <row r="221" spans="1:9">
      <c r="A221" s="119">
        <v>131</v>
      </c>
      <c r="B221" s="119">
        <v>28</v>
      </c>
      <c r="C221" s="130" t="s">
        <v>205</v>
      </c>
      <c r="D221" s="106">
        <f>0</f>
        <v>0</v>
      </c>
      <c r="E221" s="106">
        <f>0</f>
        <v>0</v>
      </c>
      <c r="F221" s="117">
        <f t="shared" si="13"/>
        <v>0</v>
      </c>
      <c r="G221" s="106">
        <f>0</f>
        <v>0</v>
      </c>
      <c r="H221" s="106">
        <f>0</f>
        <v>0</v>
      </c>
      <c r="I221" s="117">
        <f t="shared" si="14"/>
        <v>0</v>
      </c>
    </row>
    <row r="222" spans="1:9">
      <c r="A222" s="119">
        <v>132</v>
      </c>
      <c r="B222" s="119">
        <v>29</v>
      </c>
      <c r="C222" s="130" t="s">
        <v>206</v>
      </c>
      <c r="D222" s="106">
        <f>0</f>
        <v>0</v>
      </c>
      <c r="E222" s="106">
        <f>0</f>
        <v>0</v>
      </c>
      <c r="F222" s="117">
        <f t="shared" si="13"/>
        <v>0</v>
      </c>
      <c r="G222" s="106">
        <f>0</f>
        <v>0</v>
      </c>
      <c r="H222" s="106">
        <f>0</f>
        <v>0</v>
      </c>
      <c r="I222" s="117">
        <f t="shared" si="14"/>
        <v>0</v>
      </c>
    </row>
    <row r="223" spans="1:9">
      <c r="A223" s="119">
        <v>133</v>
      </c>
      <c r="B223" s="119">
        <v>30</v>
      </c>
      <c r="C223" s="130" t="s">
        <v>207</v>
      </c>
      <c r="D223" s="106">
        <f>0</f>
        <v>0</v>
      </c>
      <c r="E223" s="106">
        <f>0</f>
        <v>0</v>
      </c>
      <c r="F223" s="117">
        <f t="shared" si="13"/>
        <v>0</v>
      </c>
      <c r="G223" s="106">
        <f>0</f>
        <v>0</v>
      </c>
      <c r="H223" s="106">
        <f>0</f>
        <v>0</v>
      </c>
      <c r="I223" s="117">
        <f t="shared" si="14"/>
        <v>0</v>
      </c>
    </row>
    <row r="224" spans="1:9">
      <c r="A224" s="119">
        <v>134</v>
      </c>
      <c r="B224" s="119">
        <v>31</v>
      </c>
      <c r="C224" s="130" t="s">
        <v>208</v>
      </c>
      <c r="D224" s="106">
        <f>0</f>
        <v>0</v>
      </c>
      <c r="E224" s="106">
        <f>0</f>
        <v>0</v>
      </c>
      <c r="F224" s="117">
        <f t="shared" si="13"/>
        <v>0</v>
      </c>
      <c r="G224" s="106">
        <f>0</f>
        <v>0</v>
      </c>
      <c r="H224" s="106">
        <f>0</f>
        <v>0</v>
      </c>
      <c r="I224" s="117">
        <f t="shared" si="14"/>
        <v>0</v>
      </c>
    </row>
    <row r="225" spans="1:9">
      <c r="A225" s="119">
        <v>135</v>
      </c>
      <c r="B225" s="119">
        <v>32</v>
      </c>
      <c r="C225" s="130" t="s">
        <v>209</v>
      </c>
      <c r="D225" s="106">
        <f>0</f>
        <v>0</v>
      </c>
      <c r="E225" s="106">
        <v>106000</v>
      </c>
      <c r="F225" s="117">
        <f t="shared" si="13"/>
        <v>106000</v>
      </c>
      <c r="G225" s="106">
        <f>0</f>
        <v>0</v>
      </c>
      <c r="H225" s="106">
        <f>0</f>
        <v>0</v>
      </c>
      <c r="I225" s="117">
        <f t="shared" si="14"/>
        <v>0</v>
      </c>
    </row>
    <row r="226" spans="1:9">
      <c r="A226" s="119">
        <v>136</v>
      </c>
      <c r="B226" s="119">
        <v>33</v>
      </c>
      <c r="C226" s="130" t="s">
        <v>210</v>
      </c>
      <c r="D226" s="106">
        <v>88000</v>
      </c>
      <c r="E226" s="106">
        <f>0</f>
        <v>0</v>
      </c>
      <c r="F226" s="117">
        <f t="shared" si="13"/>
        <v>88000</v>
      </c>
      <c r="G226" s="106">
        <v>88000</v>
      </c>
      <c r="H226" s="106">
        <f>0</f>
        <v>0</v>
      </c>
      <c r="I226" s="117">
        <f t="shared" si="14"/>
        <v>88000</v>
      </c>
    </row>
    <row r="227" spans="1:9">
      <c r="A227" s="119">
        <v>137</v>
      </c>
      <c r="B227" s="119">
        <v>34</v>
      </c>
      <c r="C227" s="130" t="s">
        <v>211</v>
      </c>
      <c r="D227" s="106">
        <f>0</f>
        <v>0</v>
      </c>
      <c r="E227" s="106">
        <f>0</f>
        <v>0</v>
      </c>
      <c r="F227" s="117">
        <f t="shared" si="13"/>
        <v>0</v>
      </c>
      <c r="G227" s="106">
        <f>0</f>
        <v>0</v>
      </c>
      <c r="H227" s="106">
        <f>0</f>
        <v>0</v>
      </c>
      <c r="I227" s="117">
        <f t="shared" si="14"/>
        <v>0</v>
      </c>
    </row>
    <row r="228" spans="1:9">
      <c r="A228" s="119">
        <v>138</v>
      </c>
      <c r="B228" s="119">
        <v>35</v>
      </c>
      <c r="C228" s="130" t="s">
        <v>212</v>
      </c>
      <c r="D228" s="106">
        <f>0</f>
        <v>0</v>
      </c>
      <c r="E228" s="106">
        <f>0</f>
        <v>0</v>
      </c>
      <c r="F228" s="117">
        <f t="shared" si="13"/>
        <v>0</v>
      </c>
      <c r="G228" s="106">
        <f>0</f>
        <v>0</v>
      </c>
      <c r="H228" s="106">
        <f>0</f>
        <v>0</v>
      </c>
      <c r="I228" s="117">
        <f t="shared" si="14"/>
        <v>0</v>
      </c>
    </row>
    <row r="229" spans="1:9">
      <c r="A229" s="119">
        <v>139</v>
      </c>
      <c r="B229" s="119">
        <v>36</v>
      </c>
      <c r="C229" s="130" t="s">
        <v>213</v>
      </c>
      <c r="D229" s="106">
        <f>0</f>
        <v>0</v>
      </c>
      <c r="E229" s="106">
        <f>0</f>
        <v>0</v>
      </c>
      <c r="F229" s="117">
        <f t="shared" si="13"/>
        <v>0</v>
      </c>
      <c r="G229" s="106">
        <f>0</f>
        <v>0</v>
      </c>
      <c r="H229" s="106">
        <f>0</f>
        <v>0</v>
      </c>
      <c r="I229" s="117">
        <f t="shared" si="14"/>
        <v>0</v>
      </c>
    </row>
    <row r="230" spans="1:9">
      <c r="A230" s="119">
        <v>140</v>
      </c>
      <c r="B230" s="119">
        <v>37</v>
      </c>
      <c r="C230" s="130" t="s">
        <v>214</v>
      </c>
      <c r="D230" s="106">
        <f>0</f>
        <v>0</v>
      </c>
      <c r="E230" s="106">
        <f>0</f>
        <v>0</v>
      </c>
      <c r="F230" s="117">
        <f t="shared" si="13"/>
        <v>0</v>
      </c>
      <c r="G230" s="106">
        <f>0</f>
        <v>0</v>
      </c>
      <c r="H230" s="106">
        <f>0</f>
        <v>0</v>
      </c>
      <c r="I230" s="117">
        <f t="shared" si="14"/>
        <v>0</v>
      </c>
    </row>
    <row r="231" spans="1:9">
      <c r="A231" s="119">
        <v>141</v>
      </c>
      <c r="B231" s="119">
        <v>38</v>
      </c>
      <c r="C231" s="130" t="s">
        <v>215</v>
      </c>
      <c r="D231" s="106">
        <f>0</f>
        <v>0</v>
      </c>
      <c r="E231" s="106">
        <f>0</f>
        <v>0</v>
      </c>
      <c r="F231" s="117">
        <f t="shared" si="13"/>
        <v>0</v>
      </c>
      <c r="G231" s="106">
        <f>0</f>
        <v>0</v>
      </c>
      <c r="H231" s="106">
        <f>0</f>
        <v>0</v>
      </c>
      <c r="I231" s="117">
        <f t="shared" si="14"/>
        <v>0</v>
      </c>
    </row>
    <row r="232" spans="1:9">
      <c r="A232" s="119">
        <v>142</v>
      </c>
      <c r="B232" s="119">
        <v>39</v>
      </c>
      <c r="C232" s="130" t="s">
        <v>216</v>
      </c>
      <c r="D232" s="106">
        <f>0</f>
        <v>0</v>
      </c>
      <c r="E232" s="106">
        <v>350000</v>
      </c>
      <c r="F232" s="117">
        <f t="shared" si="13"/>
        <v>350000</v>
      </c>
      <c r="G232" s="106">
        <f>0</f>
        <v>0</v>
      </c>
      <c r="H232" s="106">
        <v>350000</v>
      </c>
      <c r="I232" s="117">
        <f t="shared" si="14"/>
        <v>350000</v>
      </c>
    </row>
    <row r="233" spans="1:9">
      <c r="A233" s="119">
        <v>143</v>
      </c>
      <c r="B233" s="119">
        <v>40</v>
      </c>
      <c r="C233" s="130" t="s">
        <v>217</v>
      </c>
      <c r="D233" s="106">
        <f>0</f>
        <v>0</v>
      </c>
      <c r="E233" s="106">
        <f>0</f>
        <v>0</v>
      </c>
      <c r="F233" s="117">
        <f t="shared" si="13"/>
        <v>0</v>
      </c>
      <c r="G233" s="106">
        <f>0</f>
        <v>0</v>
      </c>
      <c r="H233" s="106">
        <f>0</f>
        <v>0</v>
      </c>
      <c r="I233" s="117">
        <f t="shared" si="14"/>
        <v>0</v>
      </c>
    </row>
    <row r="234" spans="1:9">
      <c r="A234" s="119">
        <v>144</v>
      </c>
      <c r="B234" s="119">
        <v>41</v>
      </c>
      <c r="C234" s="130" t="s">
        <v>218</v>
      </c>
      <c r="D234" s="106">
        <f>0</f>
        <v>0</v>
      </c>
      <c r="E234" s="106">
        <f>0</f>
        <v>0</v>
      </c>
      <c r="F234" s="117">
        <f t="shared" si="13"/>
        <v>0</v>
      </c>
      <c r="G234" s="106">
        <f>0</f>
        <v>0</v>
      </c>
      <c r="H234" s="106">
        <f>0</f>
        <v>0</v>
      </c>
      <c r="I234" s="117">
        <f t="shared" si="14"/>
        <v>0</v>
      </c>
    </row>
    <row r="235" spans="1:9">
      <c r="A235" s="119">
        <v>145</v>
      </c>
      <c r="B235" s="119">
        <v>42</v>
      </c>
      <c r="C235" s="130" t="s">
        <v>219</v>
      </c>
      <c r="D235" s="106">
        <f>0</f>
        <v>0</v>
      </c>
      <c r="E235" s="106">
        <f>0</f>
        <v>0</v>
      </c>
      <c r="F235" s="117">
        <f t="shared" si="13"/>
        <v>0</v>
      </c>
      <c r="G235" s="106">
        <f>0</f>
        <v>0</v>
      </c>
      <c r="H235" s="106">
        <f>0</f>
        <v>0</v>
      </c>
      <c r="I235" s="117">
        <f t="shared" si="14"/>
        <v>0</v>
      </c>
    </row>
    <row r="236" spans="1:9">
      <c r="A236" s="119">
        <v>146</v>
      </c>
      <c r="B236" s="119">
        <v>43</v>
      </c>
      <c r="C236" s="130" t="s">
        <v>220</v>
      </c>
      <c r="D236" s="106">
        <f>0</f>
        <v>0</v>
      </c>
      <c r="E236" s="106">
        <f>0</f>
        <v>0</v>
      </c>
      <c r="F236" s="117">
        <f t="shared" si="13"/>
        <v>0</v>
      </c>
      <c r="G236" s="106">
        <v>400000</v>
      </c>
      <c r="H236" s="106">
        <f>0</f>
        <v>0</v>
      </c>
      <c r="I236" s="117">
        <f t="shared" si="14"/>
        <v>400000</v>
      </c>
    </row>
    <row r="237" spans="1:9">
      <c r="A237" s="119">
        <v>147</v>
      </c>
      <c r="B237" s="119">
        <v>44</v>
      </c>
      <c r="C237" s="130" t="s">
        <v>221</v>
      </c>
      <c r="D237" s="106">
        <f>0</f>
        <v>0</v>
      </c>
      <c r="E237" s="106">
        <f>0</f>
        <v>0</v>
      </c>
      <c r="F237" s="117">
        <f t="shared" si="13"/>
        <v>0</v>
      </c>
      <c r="G237" s="106">
        <f>0</f>
        <v>0</v>
      </c>
      <c r="H237" s="106">
        <f>0</f>
        <v>0</v>
      </c>
      <c r="I237" s="117">
        <f t="shared" si="14"/>
        <v>0</v>
      </c>
    </row>
    <row r="238" spans="1:9">
      <c r="A238" s="119">
        <v>148</v>
      </c>
      <c r="B238" s="119">
        <v>45</v>
      </c>
      <c r="C238" s="130" t="s">
        <v>222</v>
      </c>
      <c r="D238" s="106">
        <f>0</f>
        <v>0</v>
      </c>
      <c r="E238" s="106">
        <f>0</f>
        <v>0</v>
      </c>
      <c r="F238" s="117">
        <f t="shared" si="13"/>
        <v>0</v>
      </c>
      <c r="G238" s="106">
        <f>0</f>
        <v>0</v>
      </c>
      <c r="H238" s="106">
        <f>0</f>
        <v>0</v>
      </c>
      <c r="I238" s="117">
        <f t="shared" si="14"/>
        <v>0</v>
      </c>
    </row>
    <row r="239" spans="1:9">
      <c r="A239" s="119">
        <v>149</v>
      </c>
      <c r="B239" s="119">
        <v>46</v>
      </c>
      <c r="C239" s="130" t="s">
        <v>306</v>
      </c>
      <c r="D239" s="106">
        <v>750000</v>
      </c>
      <c r="E239" s="106">
        <f>0</f>
        <v>0</v>
      </c>
      <c r="F239" s="117">
        <f t="shared" si="13"/>
        <v>750000</v>
      </c>
      <c r="G239" s="106">
        <v>750000</v>
      </c>
      <c r="H239" s="106">
        <f>0</f>
        <v>0</v>
      </c>
      <c r="I239" s="117">
        <f t="shared" si="14"/>
        <v>750000</v>
      </c>
    </row>
    <row r="240" spans="1:9">
      <c r="A240" s="119">
        <v>150</v>
      </c>
      <c r="B240" s="119">
        <v>47</v>
      </c>
      <c r="C240" s="130" t="s">
        <v>281</v>
      </c>
      <c r="D240" s="106">
        <v>350000</v>
      </c>
      <c r="E240" s="106">
        <f>0</f>
        <v>0</v>
      </c>
      <c r="F240" s="117">
        <f t="shared" si="13"/>
        <v>350000</v>
      </c>
      <c r="G240" s="106">
        <v>350000</v>
      </c>
      <c r="H240" s="106">
        <f>0</f>
        <v>0</v>
      </c>
      <c r="I240" s="117">
        <f t="shared" si="14"/>
        <v>350000</v>
      </c>
    </row>
    <row r="241" spans="1:9">
      <c r="A241" s="119">
        <v>151</v>
      </c>
      <c r="B241" s="119">
        <v>48</v>
      </c>
      <c r="C241" s="130" t="s">
        <v>347</v>
      </c>
      <c r="D241" s="106"/>
      <c r="E241" s="106"/>
      <c r="F241" s="117"/>
      <c r="G241" s="106">
        <v>2000000</v>
      </c>
      <c r="H241" s="106">
        <f>0</f>
        <v>0</v>
      </c>
      <c r="I241" s="117"/>
    </row>
    <row r="242" spans="1:9">
      <c r="A242" s="119">
        <v>152</v>
      </c>
      <c r="B242" s="119">
        <v>49</v>
      </c>
      <c r="C242" s="130" t="s">
        <v>348</v>
      </c>
      <c r="D242" s="106"/>
      <c r="E242" s="106"/>
      <c r="F242" s="117"/>
      <c r="G242" s="106">
        <v>500000</v>
      </c>
      <c r="H242" s="106">
        <f>0</f>
        <v>0</v>
      </c>
      <c r="I242" s="117"/>
    </row>
    <row r="243" spans="1:9">
      <c r="A243" s="119">
        <v>153</v>
      </c>
      <c r="B243" s="119">
        <v>50</v>
      </c>
      <c r="C243" s="130" t="s">
        <v>224</v>
      </c>
      <c r="D243" s="106">
        <f>0</f>
        <v>0</v>
      </c>
      <c r="E243" s="106">
        <f>0</f>
        <v>0</v>
      </c>
      <c r="F243" s="117">
        <f t="shared" si="13"/>
        <v>0</v>
      </c>
      <c r="G243" s="106">
        <f>0</f>
        <v>0</v>
      </c>
      <c r="H243" s="106">
        <f>0</f>
        <v>0</v>
      </c>
      <c r="I243" s="117">
        <f t="shared" si="14"/>
        <v>0</v>
      </c>
    </row>
    <row r="244" spans="1:9">
      <c r="A244" s="119">
        <v>154</v>
      </c>
      <c r="B244" s="119">
        <v>51</v>
      </c>
      <c r="C244" s="131" t="s">
        <v>225</v>
      </c>
      <c r="D244" s="106">
        <v>860000</v>
      </c>
      <c r="E244" s="106">
        <f>0</f>
        <v>0</v>
      </c>
      <c r="F244" s="117">
        <f t="shared" si="13"/>
        <v>860000</v>
      </c>
      <c r="G244" s="106">
        <v>860000</v>
      </c>
      <c r="H244" s="106">
        <f>0</f>
        <v>0</v>
      </c>
      <c r="I244" s="117">
        <f t="shared" si="14"/>
        <v>860000</v>
      </c>
    </row>
    <row r="245" spans="1:9">
      <c r="A245" s="132" t="s">
        <v>58</v>
      </c>
      <c r="B245" s="132"/>
      <c r="C245" s="132"/>
      <c r="D245" s="110">
        <f>SUM(D194:D244)</f>
        <v>6692051</v>
      </c>
      <c r="E245" s="110">
        <f>SUM(E194:E244)</f>
        <v>3703700</v>
      </c>
      <c r="F245" s="110">
        <f>SUM(D245:E245)</f>
        <v>10395751</v>
      </c>
      <c r="G245" s="110">
        <f>SUM(G194:G244)</f>
        <v>7520001</v>
      </c>
      <c r="H245" s="110">
        <f>SUM(H194:H244)</f>
        <v>3416600</v>
      </c>
      <c r="I245" s="110">
        <f>SUM(G245:H245)</f>
        <v>10936601</v>
      </c>
    </row>
    <row r="246" spans="1:9">
      <c r="A246" s="108" t="s">
        <v>226</v>
      </c>
      <c r="B246" s="109"/>
      <c r="C246" s="109"/>
      <c r="D246" s="109"/>
      <c r="E246" s="109"/>
      <c r="F246" s="109"/>
      <c r="G246" s="109"/>
      <c r="H246" s="109"/>
      <c r="I246" s="113"/>
    </row>
    <row r="247" spans="1:9">
      <c r="A247" s="119">
        <v>155</v>
      </c>
      <c r="B247" s="119">
        <v>1</v>
      </c>
      <c r="C247" s="125" t="s">
        <v>227</v>
      </c>
      <c r="D247" s="106">
        <v>1244193</v>
      </c>
      <c r="E247" s="106">
        <v>35000</v>
      </c>
      <c r="F247" s="117">
        <f>SUM(D247:E247)</f>
        <v>1279193</v>
      </c>
      <c r="G247" s="106">
        <f>0</f>
        <v>0</v>
      </c>
      <c r="H247" s="106">
        <f>0</f>
        <v>0</v>
      </c>
      <c r="I247" s="117">
        <f>SUM(G247:H247)</f>
        <v>0</v>
      </c>
    </row>
    <row r="248" spans="1:9">
      <c r="A248" s="108" t="s">
        <v>101</v>
      </c>
      <c r="B248" s="109"/>
      <c r="C248" s="109"/>
      <c r="D248" s="110">
        <f>D247</f>
        <v>1244193</v>
      </c>
      <c r="E248" s="110">
        <f>E247</f>
        <v>35000</v>
      </c>
      <c r="F248" s="110">
        <f>SUM(D248:E248)</f>
        <v>1279193</v>
      </c>
      <c r="G248" s="110">
        <f>G247</f>
        <v>0</v>
      </c>
      <c r="H248" s="110">
        <f>H247</f>
        <v>0</v>
      </c>
      <c r="I248" s="110">
        <f>SUM(G248:H248)</f>
        <v>0</v>
      </c>
    </row>
    <row r="249" spans="1:9">
      <c r="A249" s="108" t="s">
        <v>228</v>
      </c>
      <c r="B249" s="109"/>
      <c r="C249" s="109"/>
      <c r="D249" s="109"/>
      <c r="E249" s="109"/>
      <c r="F249" s="109"/>
      <c r="G249" s="109"/>
      <c r="H249" s="109"/>
      <c r="I249" s="113"/>
    </row>
    <row r="250" spans="1:9">
      <c r="A250" s="119">
        <v>156</v>
      </c>
      <c r="B250" s="119">
        <v>1</v>
      </c>
      <c r="C250" s="133" t="s">
        <v>229</v>
      </c>
      <c r="D250" s="106">
        <f>0</f>
        <v>0</v>
      </c>
      <c r="E250" s="134">
        <f>0</f>
        <v>0</v>
      </c>
      <c r="F250" s="117">
        <f>SUM(D250:E250)</f>
        <v>0</v>
      </c>
      <c r="G250" s="106">
        <f>0</f>
        <v>0</v>
      </c>
      <c r="H250" s="134">
        <f>0</f>
        <v>0</v>
      </c>
      <c r="I250" s="117">
        <f>SUM(G250:H250)</f>
        <v>0</v>
      </c>
    </row>
    <row r="251" spans="1:9">
      <c r="A251" s="108" t="s">
        <v>101</v>
      </c>
      <c r="B251" s="109"/>
      <c r="C251" s="109"/>
      <c r="D251" s="110">
        <f>D250</f>
        <v>0</v>
      </c>
      <c r="E251" s="110">
        <f>E250</f>
        <v>0</v>
      </c>
      <c r="F251" s="110">
        <f>SUM(D251:E251)</f>
        <v>0</v>
      </c>
      <c r="G251" s="110">
        <f>G250</f>
        <v>0</v>
      </c>
      <c r="H251" s="110">
        <f>H250</f>
        <v>0</v>
      </c>
      <c r="I251" s="110">
        <f>SUM(G251:H251)</f>
        <v>0</v>
      </c>
    </row>
    <row r="252" spans="1:9">
      <c r="A252" s="108" t="s">
        <v>230</v>
      </c>
      <c r="B252" s="109"/>
      <c r="C252" s="109"/>
      <c r="D252" s="109"/>
      <c r="E252" s="109"/>
      <c r="F252" s="109"/>
      <c r="G252" s="109"/>
      <c r="H252" s="109"/>
      <c r="I252" s="113"/>
    </row>
    <row r="253" spans="1:9" s="189" customFormat="1">
      <c r="A253" s="186">
        <v>157</v>
      </c>
      <c r="B253" s="186">
        <v>1</v>
      </c>
      <c r="C253" s="228" t="s">
        <v>231</v>
      </c>
      <c r="D253" s="187">
        <f>0</f>
        <v>0</v>
      </c>
      <c r="E253" s="187">
        <f>0</f>
        <v>0</v>
      </c>
      <c r="F253" s="188">
        <f>SUM(D253:E253)</f>
        <v>0</v>
      </c>
      <c r="G253" s="187">
        <f>0</f>
        <v>0</v>
      </c>
      <c r="H253" s="187">
        <f>0</f>
        <v>0</v>
      </c>
      <c r="I253" s="188">
        <f>SUM(G253:H253)</f>
        <v>0</v>
      </c>
    </row>
    <row r="254" spans="1:9" s="189" customFormat="1">
      <c r="A254" s="186">
        <v>158</v>
      </c>
      <c r="B254" s="186">
        <v>2</v>
      </c>
      <c r="C254" s="228" t="s">
        <v>232</v>
      </c>
      <c r="D254" s="187">
        <f>0</f>
        <v>0</v>
      </c>
      <c r="E254" s="187">
        <f>1063050+869750</f>
        <v>1932800</v>
      </c>
      <c r="F254" s="188">
        <f t="shared" ref="F254:F259" si="15">SUM(D254:E254)</f>
        <v>1932800</v>
      </c>
      <c r="G254" s="187">
        <v>750000</v>
      </c>
      <c r="H254" s="187">
        <f>0</f>
        <v>0</v>
      </c>
      <c r="I254" s="188">
        <f t="shared" ref="I254:I264" si="16">SUM(G254:H254)</f>
        <v>750000</v>
      </c>
    </row>
    <row r="255" spans="1:9" s="189" customFormat="1">
      <c r="A255" s="186">
        <v>159</v>
      </c>
      <c r="B255" s="186">
        <v>3</v>
      </c>
      <c r="C255" s="229" t="s">
        <v>307</v>
      </c>
      <c r="D255" s="187">
        <v>2396389</v>
      </c>
      <c r="E255" s="187">
        <f>0</f>
        <v>0</v>
      </c>
      <c r="F255" s="188">
        <f t="shared" si="15"/>
        <v>2396389</v>
      </c>
      <c r="G255" s="187">
        <f>0</f>
        <v>0</v>
      </c>
      <c r="H255" s="187">
        <f>0</f>
        <v>0</v>
      </c>
      <c r="I255" s="188">
        <f t="shared" si="16"/>
        <v>0</v>
      </c>
    </row>
    <row r="256" spans="1:9" s="189" customFormat="1">
      <c r="A256" s="186">
        <v>160</v>
      </c>
      <c r="B256" s="186">
        <v>4</v>
      </c>
      <c r="C256" s="135" t="s">
        <v>233</v>
      </c>
      <c r="D256" s="187">
        <f>400000+230000+1500000</f>
        <v>2130000</v>
      </c>
      <c r="E256" s="187">
        <f>0</f>
        <v>0</v>
      </c>
      <c r="F256" s="188">
        <f t="shared" si="15"/>
        <v>2130000</v>
      </c>
      <c r="G256" s="187">
        <f>400000+250000+135000+75000+200000</f>
        <v>1060000</v>
      </c>
      <c r="H256" s="187">
        <f>400000+100000</f>
        <v>500000</v>
      </c>
      <c r="I256" s="188">
        <f t="shared" si="16"/>
        <v>1560000</v>
      </c>
    </row>
    <row r="257" spans="1:9" s="189" customFormat="1">
      <c r="A257" s="186">
        <v>161</v>
      </c>
      <c r="B257" s="186">
        <v>5</v>
      </c>
      <c r="C257" s="135" t="s">
        <v>234</v>
      </c>
      <c r="D257" s="187">
        <v>120000</v>
      </c>
      <c r="E257" s="187">
        <f>0</f>
        <v>0</v>
      </c>
      <c r="F257" s="188">
        <f t="shared" si="15"/>
        <v>120000</v>
      </c>
      <c r="G257" s="187">
        <v>120000</v>
      </c>
      <c r="H257" s="187">
        <f>0</f>
        <v>0</v>
      </c>
      <c r="I257" s="188">
        <f t="shared" si="16"/>
        <v>120000</v>
      </c>
    </row>
    <row r="258" spans="1:9" s="189" customFormat="1">
      <c r="A258" s="186">
        <v>162</v>
      </c>
      <c r="B258" s="186">
        <v>6</v>
      </c>
      <c r="C258" s="136" t="s">
        <v>246</v>
      </c>
      <c r="D258" s="187">
        <f>0</f>
        <v>0</v>
      </c>
      <c r="E258" s="187">
        <f>0</f>
        <v>0</v>
      </c>
      <c r="F258" s="188">
        <f t="shared" si="15"/>
        <v>0</v>
      </c>
      <c r="G258" s="187">
        <v>200000</v>
      </c>
      <c r="H258" s="187">
        <f>0</f>
        <v>0</v>
      </c>
      <c r="I258" s="188">
        <f t="shared" si="16"/>
        <v>200000</v>
      </c>
    </row>
    <row r="259" spans="1:9" s="189" customFormat="1">
      <c r="A259" s="186">
        <v>163</v>
      </c>
      <c r="B259" s="186">
        <v>7</v>
      </c>
      <c r="C259" s="136" t="s">
        <v>248</v>
      </c>
      <c r="D259" s="187">
        <v>200000</v>
      </c>
      <c r="E259" s="187">
        <f>0</f>
        <v>0</v>
      </c>
      <c r="F259" s="188">
        <f t="shared" si="15"/>
        <v>200000</v>
      </c>
      <c r="G259" s="187">
        <f>0</f>
        <v>0</v>
      </c>
      <c r="H259" s="187">
        <f>0</f>
        <v>0</v>
      </c>
      <c r="I259" s="188">
        <f t="shared" si="16"/>
        <v>0</v>
      </c>
    </row>
    <row r="260" spans="1:9" s="189" customFormat="1">
      <c r="A260" s="186">
        <v>164</v>
      </c>
      <c r="B260" s="186">
        <v>8</v>
      </c>
      <c r="C260" s="135" t="s">
        <v>308</v>
      </c>
      <c r="D260" s="187">
        <v>1900000</v>
      </c>
      <c r="E260" s="187"/>
      <c r="F260" s="188"/>
      <c r="G260" s="187">
        <f>0</f>
        <v>0</v>
      </c>
      <c r="H260" s="187">
        <f>0</f>
        <v>0</v>
      </c>
      <c r="I260" s="188">
        <f t="shared" si="16"/>
        <v>0</v>
      </c>
    </row>
    <row r="261" spans="1:9" s="189" customFormat="1">
      <c r="A261" s="186">
        <v>165</v>
      </c>
      <c r="B261" s="186">
        <v>9</v>
      </c>
      <c r="C261" s="135" t="s">
        <v>349</v>
      </c>
      <c r="D261" s="187"/>
      <c r="E261" s="187"/>
      <c r="F261" s="188"/>
      <c r="G261" s="187">
        <v>1000000</v>
      </c>
      <c r="H261" s="187">
        <f>0</f>
        <v>0</v>
      </c>
      <c r="I261" s="188">
        <f t="shared" si="16"/>
        <v>1000000</v>
      </c>
    </row>
    <row r="262" spans="1:9" s="189" customFormat="1">
      <c r="A262" s="186">
        <v>166</v>
      </c>
      <c r="B262" s="186">
        <v>10</v>
      </c>
      <c r="C262" s="135" t="s">
        <v>236</v>
      </c>
      <c r="D262" s="187"/>
      <c r="E262" s="187"/>
      <c r="F262" s="188"/>
      <c r="G262" s="187">
        <v>350000</v>
      </c>
      <c r="H262" s="187">
        <f>0</f>
        <v>0</v>
      </c>
      <c r="I262" s="188">
        <f t="shared" si="16"/>
        <v>350000</v>
      </c>
    </row>
    <row r="263" spans="1:9" s="189" customFormat="1">
      <c r="A263" s="186">
        <v>167</v>
      </c>
      <c r="B263" s="186">
        <v>11</v>
      </c>
      <c r="C263" s="135" t="s">
        <v>350</v>
      </c>
      <c r="D263" s="187"/>
      <c r="E263" s="187"/>
      <c r="F263" s="188"/>
      <c r="G263" s="187">
        <f>0</f>
        <v>0</v>
      </c>
      <c r="H263" s="187">
        <v>250000</v>
      </c>
      <c r="I263" s="188">
        <f t="shared" si="16"/>
        <v>250000</v>
      </c>
    </row>
    <row r="264" spans="1:9">
      <c r="A264" s="119">
        <v>168</v>
      </c>
      <c r="B264" s="119">
        <v>12</v>
      </c>
      <c r="C264" s="133" t="s">
        <v>252</v>
      </c>
      <c r="D264" s="106">
        <f>0</f>
        <v>0</v>
      </c>
      <c r="E264" s="106">
        <f>0</f>
        <v>0</v>
      </c>
      <c r="F264" s="117">
        <f>SUM(D264:E264)</f>
        <v>0</v>
      </c>
      <c r="G264" s="106">
        <f>0</f>
        <v>0</v>
      </c>
      <c r="H264" s="106">
        <f>0</f>
        <v>0</v>
      </c>
      <c r="I264" s="117">
        <f t="shared" si="16"/>
        <v>0</v>
      </c>
    </row>
    <row r="265" spans="1:9" ht="15.75" thickBot="1">
      <c r="A265" s="137" t="s">
        <v>101</v>
      </c>
      <c r="B265" s="138"/>
      <c r="C265" s="139"/>
      <c r="D265" s="140">
        <f>SUM(D253:D264)</f>
        <v>6746389</v>
      </c>
      <c r="E265" s="140">
        <f>SUM(E253:E264)</f>
        <v>1932800</v>
      </c>
      <c r="F265" s="140">
        <f>SUM(D265:E265)</f>
        <v>8679189</v>
      </c>
      <c r="G265" s="140">
        <f>SUM(G253:G264)</f>
        <v>3480000</v>
      </c>
      <c r="H265" s="140">
        <f>SUM(H253:H264)</f>
        <v>750000</v>
      </c>
      <c r="I265" s="140">
        <f>SUM(G265:H265)</f>
        <v>4230000</v>
      </c>
    </row>
    <row r="266" spans="1:9" ht="16.5" thickTop="1" thickBot="1">
      <c r="A266" s="141" t="s">
        <v>253</v>
      </c>
      <c r="B266" s="142"/>
      <c r="C266" s="142"/>
      <c r="D266" s="143">
        <f>D265+D251+D248+D245+D192+D167+D145+D123+D120+D117+D111+D100+D84+D72</f>
        <v>124806952</v>
      </c>
      <c r="E266" s="143">
        <f>E265+E251+E248+E245+E192+E167+E145+E123+E120+E117+E111+E100+E84+E72</f>
        <v>44613251</v>
      </c>
      <c r="F266" s="143">
        <f>SUM(D266:E266)</f>
        <v>169420203</v>
      </c>
      <c r="G266" s="143">
        <f>G265+G251+G248+G245+G192+G167+G145+G123+G120+G117+G111+G100+G84+G72</f>
        <v>131172620</v>
      </c>
      <c r="H266" s="143">
        <f>H265+H251+H248+H245+H192+H167+H145+H123+H120+H117+H111+H100+H84+H72</f>
        <v>44131049</v>
      </c>
      <c r="I266" s="143">
        <f>SUM(G266:H266)</f>
        <v>175303669</v>
      </c>
    </row>
    <row r="267" spans="1:9" ht="15.75" thickTop="1">
      <c r="A267" s="144"/>
      <c r="B267" s="145"/>
      <c r="C267" s="145"/>
      <c r="D267" s="145"/>
      <c r="E267" s="145"/>
      <c r="F267" s="145"/>
      <c r="G267" s="145"/>
      <c r="H267" s="145"/>
      <c r="I267" s="145"/>
    </row>
    <row r="268" spans="1:9">
      <c r="A268" s="146" t="s">
        <v>254</v>
      </c>
      <c r="B268" s="146"/>
      <c r="C268" s="146"/>
      <c r="D268" s="146"/>
      <c r="E268" s="146"/>
      <c r="F268" s="146"/>
      <c r="G268" s="146"/>
      <c r="H268" s="146"/>
      <c r="I268" s="146"/>
    </row>
    <row r="269" spans="1:9">
      <c r="A269" s="144"/>
      <c r="B269" s="147" t="s">
        <v>351</v>
      </c>
      <c r="C269" s="147"/>
      <c r="D269" s="147"/>
      <c r="E269" s="147"/>
      <c r="F269" s="147"/>
      <c r="G269" s="147"/>
      <c r="H269" s="147"/>
      <c r="I269" s="147"/>
    </row>
    <row r="270" spans="1:9">
      <c r="A270" s="148" t="s">
        <v>256</v>
      </c>
      <c r="B270" s="149" t="s">
        <v>23</v>
      </c>
      <c r="C270" s="150" t="s">
        <v>24</v>
      </c>
      <c r="D270" s="151"/>
      <c r="E270" s="151"/>
      <c r="F270" s="151"/>
      <c r="G270" s="151"/>
      <c r="H270" s="152"/>
      <c r="I270" s="153" t="s">
        <v>101</v>
      </c>
    </row>
    <row r="271" spans="1:9">
      <c r="A271" s="144"/>
      <c r="B271" s="154"/>
      <c r="C271" s="155"/>
      <c r="D271" s="156"/>
      <c r="E271" s="156"/>
      <c r="F271" s="156"/>
      <c r="G271" s="156"/>
      <c r="H271" s="157"/>
      <c r="I271" s="153" t="s">
        <v>257</v>
      </c>
    </row>
    <row r="272" spans="1:9">
      <c r="A272" s="144"/>
      <c r="B272" s="158"/>
      <c r="C272" s="159" t="s">
        <v>258</v>
      </c>
      <c r="D272" s="160"/>
      <c r="E272" s="160"/>
      <c r="F272" s="160"/>
      <c r="G272" s="160"/>
      <c r="H272" s="161"/>
      <c r="I272" s="162"/>
    </row>
    <row r="273" spans="1:9">
      <c r="A273" s="144"/>
      <c r="B273" s="163">
        <v>1</v>
      </c>
      <c r="C273" s="190" t="s">
        <v>352</v>
      </c>
      <c r="D273" s="191"/>
      <c r="E273" s="191"/>
      <c r="F273" s="191"/>
      <c r="G273" s="191"/>
      <c r="H273" s="192"/>
      <c r="I273" s="167">
        <v>6260000</v>
      </c>
    </row>
    <row r="274" spans="1:9">
      <c r="A274" s="144"/>
      <c r="B274" s="163">
        <v>2</v>
      </c>
      <c r="C274" s="190" t="s">
        <v>353</v>
      </c>
      <c r="D274" s="191"/>
      <c r="E274" s="191"/>
      <c r="F274" s="191"/>
      <c r="G274" s="191"/>
      <c r="H274" s="192"/>
      <c r="I274" s="167">
        <v>25000000</v>
      </c>
    </row>
    <row r="275" spans="1:9">
      <c r="A275" s="144"/>
      <c r="B275" s="163">
        <v>3</v>
      </c>
      <c r="C275" s="190" t="s">
        <v>354</v>
      </c>
      <c r="D275" s="191"/>
      <c r="E275" s="191"/>
      <c r="F275" s="191"/>
      <c r="G275" s="191"/>
      <c r="H275" s="192"/>
      <c r="I275" s="167">
        <v>3000000</v>
      </c>
    </row>
    <row r="276" spans="1:9">
      <c r="A276" s="144"/>
      <c r="B276" s="163">
        <v>4</v>
      </c>
      <c r="C276" s="200" t="s">
        <v>355</v>
      </c>
      <c r="D276" s="165"/>
      <c r="E276" s="165"/>
      <c r="F276" s="165"/>
      <c r="G276" s="165"/>
      <c r="H276" s="166"/>
      <c r="I276" s="167">
        <v>670000</v>
      </c>
    </row>
    <row r="277" spans="1:9">
      <c r="A277" s="144"/>
      <c r="B277" s="163">
        <v>5</v>
      </c>
      <c r="C277" s="176" t="s">
        <v>259</v>
      </c>
      <c r="D277" s="165"/>
      <c r="E277" s="165"/>
      <c r="F277" s="165"/>
      <c r="G277" s="165"/>
      <c r="H277" s="166"/>
      <c r="I277" s="167">
        <v>750000</v>
      </c>
    </row>
    <row r="278" spans="1:9">
      <c r="A278" s="168"/>
      <c r="B278" s="169" t="s">
        <v>58</v>
      </c>
      <c r="C278" s="170"/>
      <c r="D278" s="170"/>
      <c r="E278" s="170"/>
      <c r="F278" s="170"/>
      <c r="G278" s="170"/>
      <c r="H278" s="171"/>
      <c r="I278" s="172">
        <f>SUM(I273:I277)</f>
        <v>35680000</v>
      </c>
    </row>
    <row r="279" spans="1:9">
      <c r="A279" s="145"/>
      <c r="B279" s="145"/>
      <c r="C279" s="145"/>
      <c r="D279" s="145"/>
      <c r="E279" s="145"/>
      <c r="F279" s="145"/>
      <c r="G279" s="145"/>
      <c r="H279" s="145"/>
      <c r="I279" s="145"/>
    </row>
    <row r="280" spans="1:9">
      <c r="A280" s="148" t="s">
        <v>260</v>
      </c>
      <c r="B280" s="149" t="s">
        <v>23</v>
      </c>
      <c r="C280" s="150" t="s">
        <v>24</v>
      </c>
      <c r="D280" s="151"/>
      <c r="E280" s="151"/>
      <c r="F280" s="151"/>
      <c r="G280" s="151"/>
      <c r="H280" s="152"/>
      <c r="I280" s="153" t="s">
        <v>101</v>
      </c>
    </row>
    <row r="281" spans="1:9">
      <c r="A281" s="145"/>
      <c r="B281" s="154"/>
      <c r="C281" s="155"/>
      <c r="D281" s="156"/>
      <c r="E281" s="156"/>
      <c r="F281" s="156"/>
      <c r="G281" s="156"/>
      <c r="H281" s="157"/>
      <c r="I281" s="153" t="s">
        <v>257</v>
      </c>
    </row>
    <row r="282" spans="1:9">
      <c r="A282" s="145"/>
      <c r="B282" s="158"/>
      <c r="C282" s="159" t="s">
        <v>261</v>
      </c>
      <c r="D282" s="160"/>
      <c r="E282" s="160"/>
      <c r="F282" s="160"/>
      <c r="G282" s="160"/>
      <c r="H282" s="161"/>
      <c r="I282" s="173"/>
    </row>
    <row r="283" spans="1:9">
      <c r="A283" s="145"/>
      <c r="B283" s="163">
        <v>1</v>
      </c>
      <c r="C283" s="174" t="s">
        <v>356</v>
      </c>
      <c r="D283" s="175"/>
      <c r="E283" s="175"/>
      <c r="F283" s="175"/>
      <c r="G283" s="175"/>
      <c r="H283" s="175"/>
      <c r="I283" s="173">
        <v>1101200</v>
      </c>
    </row>
    <row r="284" spans="1:9">
      <c r="A284" s="145"/>
      <c r="B284" s="163">
        <v>2</v>
      </c>
      <c r="C284" s="174" t="s">
        <v>357</v>
      </c>
      <c r="D284" s="177"/>
      <c r="E284" s="177"/>
      <c r="F284" s="177"/>
      <c r="G284" s="177"/>
      <c r="H284" s="177"/>
      <c r="I284" s="173">
        <v>1504063</v>
      </c>
    </row>
    <row r="285" spans="1:9">
      <c r="A285" s="145"/>
      <c r="B285" s="163">
        <v>3</v>
      </c>
      <c r="C285" s="174" t="s">
        <v>325</v>
      </c>
      <c r="D285" s="177"/>
      <c r="E285" s="177"/>
      <c r="F285" s="177"/>
      <c r="G285" s="177"/>
      <c r="H285" s="177"/>
      <c r="I285" s="173">
        <f>150000+150000+30000</f>
        <v>330000</v>
      </c>
    </row>
    <row r="286" spans="1:9">
      <c r="A286" s="145"/>
      <c r="B286" s="163">
        <v>4</v>
      </c>
      <c r="C286" s="174" t="s">
        <v>358</v>
      </c>
      <c r="D286" s="177"/>
      <c r="E286" s="177"/>
      <c r="F286" s="177"/>
      <c r="G286" s="177"/>
      <c r="H286" s="177"/>
      <c r="I286" s="173">
        <v>1930600</v>
      </c>
    </row>
    <row r="287" spans="1:9">
      <c r="A287" s="145"/>
      <c r="B287" s="163">
        <v>5</v>
      </c>
      <c r="C287" s="174" t="s">
        <v>359</v>
      </c>
      <c r="D287" s="177"/>
      <c r="E287" s="177"/>
      <c r="F287" s="177"/>
      <c r="G287" s="177"/>
      <c r="H287" s="177"/>
      <c r="I287" s="173">
        <v>375000</v>
      </c>
    </row>
    <row r="288" spans="1:9">
      <c r="A288" s="145"/>
      <c r="B288" s="163">
        <v>6</v>
      </c>
      <c r="C288" s="176" t="s">
        <v>360</v>
      </c>
      <c r="D288" s="177"/>
      <c r="E288" s="177"/>
      <c r="F288" s="177"/>
      <c r="G288" s="177"/>
      <c r="H288" s="177"/>
      <c r="I288" s="173">
        <v>166400</v>
      </c>
    </row>
    <row r="289" spans="1:9">
      <c r="A289" s="145"/>
      <c r="B289" s="163">
        <v>7</v>
      </c>
      <c r="C289" s="176" t="s">
        <v>361</v>
      </c>
      <c r="D289" s="177"/>
      <c r="E289" s="177"/>
      <c r="F289" s="177"/>
      <c r="G289" s="177"/>
      <c r="H289" s="177"/>
      <c r="I289" s="173">
        <v>341000</v>
      </c>
    </row>
    <row r="290" spans="1:9">
      <c r="A290" s="145"/>
      <c r="B290" s="163">
        <v>8</v>
      </c>
      <c r="C290" s="176" t="s">
        <v>362</v>
      </c>
      <c r="D290" s="177"/>
      <c r="E290" s="177"/>
      <c r="F290" s="177"/>
      <c r="G290" s="177"/>
      <c r="H290" s="177"/>
      <c r="I290" s="173">
        <v>255000</v>
      </c>
    </row>
    <row r="291" spans="1:9">
      <c r="A291" s="145"/>
      <c r="B291" s="163">
        <v>9</v>
      </c>
      <c r="C291" s="176" t="s">
        <v>363</v>
      </c>
      <c r="D291" s="177"/>
      <c r="E291" s="177"/>
      <c r="F291" s="177"/>
      <c r="G291" s="177"/>
      <c r="H291" s="177"/>
      <c r="I291" s="173">
        <v>1500000</v>
      </c>
    </row>
    <row r="292" spans="1:9">
      <c r="A292" s="168"/>
      <c r="B292" s="178" t="s">
        <v>58</v>
      </c>
      <c r="C292" s="179"/>
      <c r="D292" s="179"/>
      <c r="E292" s="179"/>
      <c r="F292" s="179"/>
      <c r="G292" s="179"/>
      <c r="H292" s="179"/>
      <c r="I292" s="172">
        <f>SUM(I283:I291)</f>
        <v>7503263</v>
      </c>
    </row>
    <row r="293" spans="1:9">
      <c r="A293" s="144"/>
      <c r="B293" s="144"/>
      <c r="C293" s="144"/>
      <c r="D293" s="144"/>
      <c r="E293" s="144"/>
      <c r="F293" s="144"/>
      <c r="G293" s="144"/>
      <c r="H293" s="144"/>
      <c r="I293" s="144" t="s">
        <v>265</v>
      </c>
    </row>
    <row r="294" spans="1:9">
      <c r="A294" s="144"/>
      <c r="B294" s="144"/>
      <c r="C294" s="144"/>
      <c r="D294" s="180"/>
      <c r="G294" s="180" t="s">
        <v>364</v>
      </c>
      <c r="H294" s="180"/>
    </row>
    <row r="295" spans="1:9">
      <c r="A295" s="144"/>
      <c r="B295" s="144"/>
      <c r="C295" s="180" t="s">
        <v>42</v>
      </c>
      <c r="D295" s="181"/>
      <c r="G295" s="180" t="s">
        <v>267</v>
      </c>
      <c r="H295" s="180"/>
    </row>
    <row r="296" spans="1:9">
      <c r="A296" s="144"/>
      <c r="B296" s="144"/>
      <c r="C296" s="144"/>
      <c r="D296" s="182"/>
      <c r="G296" s="144"/>
      <c r="H296" s="144"/>
    </row>
    <row r="297" spans="1:9">
      <c r="A297" s="144"/>
      <c r="B297" s="183"/>
      <c r="C297" s="184" t="s">
        <v>344</v>
      </c>
      <c r="D297" s="184"/>
      <c r="E297" s="193"/>
      <c r="F297" s="193"/>
      <c r="G297" s="184" t="s">
        <v>344</v>
      </c>
      <c r="H297" s="144"/>
    </row>
    <row r="298" spans="1:9">
      <c r="A298" s="144"/>
      <c r="B298" s="183"/>
      <c r="C298" s="180" t="s">
        <v>268</v>
      </c>
      <c r="D298" s="144"/>
      <c r="G298" s="180" t="s">
        <v>269</v>
      </c>
      <c r="H298" s="185"/>
    </row>
  </sheetData>
  <mergeCells count="60">
    <mergeCell ref="C282:H282"/>
    <mergeCell ref="B292:H292"/>
    <mergeCell ref="B269:I269"/>
    <mergeCell ref="B270:B271"/>
    <mergeCell ref="C270:H271"/>
    <mergeCell ref="C272:H272"/>
    <mergeCell ref="B278:H278"/>
    <mergeCell ref="B280:B281"/>
    <mergeCell ref="C280:H281"/>
    <mergeCell ref="A249:I249"/>
    <mergeCell ref="A251:C251"/>
    <mergeCell ref="A252:I252"/>
    <mergeCell ref="A265:C265"/>
    <mergeCell ref="A266:C266"/>
    <mergeCell ref="A268:I268"/>
    <mergeCell ref="A168:I168"/>
    <mergeCell ref="A192:C192"/>
    <mergeCell ref="A193:I193"/>
    <mergeCell ref="A245:C245"/>
    <mergeCell ref="A246:I246"/>
    <mergeCell ref="A248:C248"/>
    <mergeCell ref="A121:I121"/>
    <mergeCell ref="A123:C123"/>
    <mergeCell ref="A124:I124"/>
    <mergeCell ref="A145:C145"/>
    <mergeCell ref="A146:I146"/>
    <mergeCell ref="A167:C167"/>
    <mergeCell ref="A101:I101"/>
    <mergeCell ref="A111:C111"/>
    <mergeCell ref="A112:I112"/>
    <mergeCell ref="A117:C117"/>
    <mergeCell ref="A118:I118"/>
    <mergeCell ref="A120:C120"/>
    <mergeCell ref="A70:I70"/>
    <mergeCell ref="A72:C72"/>
    <mergeCell ref="A73:I73"/>
    <mergeCell ref="A84:C84"/>
    <mergeCell ref="A85:I85"/>
    <mergeCell ref="A100:C100"/>
    <mergeCell ref="A65:I65"/>
    <mergeCell ref="A67:A69"/>
    <mergeCell ref="B67:C69"/>
    <mergeCell ref="D67:E67"/>
    <mergeCell ref="F67:F69"/>
    <mergeCell ref="G67:H67"/>
    <mergeCell ref="I67:I69"/>
    <mergeCell ref="D68:E68"/>
    <mergeCell ref="G68:H68"/>
    <mergeCell ref="A8:B8"/>
    <mergeCell ref="A9:B9"/>
    <mergeCell ref="A10:B10"/>
    <mergeCell ref="E23:F23"/>
    <mergeCell ref="A63:I63"/>
    <mergeCell ref="A64:I64"/>
    <mergeCell ref="A1:F1"/>
    <mergeCell ref="A2:F2"/>
    <mergeCell ref="A3:F3"/>
    <mergeCell ref="A4:F4"/>
    <mergeCell ref="A5:F5"/>
    <mergeCell ref="E7:F7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7"/>
  <sheetViews>
    <sheetView topLeftCell="A24" workbookViewId="0">
      <selection activeCell="A255" sqref="A255:XFD270"/>
    </sheetView>
  </sheetViews>
  <sheetFormatPr defaultColWidth="5.140625" defaultRowHeight="15"/>
  <cols>
    <col min="3" max="3" width="31.7109375" customWidth="1"/>
    <col min="4" max="4" width="18.7109375" customWidth="1"/>
    <col min="5" max="5" width="20.28515625" customWidth="1"/>
    <col min="6" max="6" width="18.7109375" customWidth="1"/>
    <col min="7" max="8" width="13.7109375" customWidth="1"/>
    <col min="9" max="9" width="14.5703125" customWidth="1"/>
  </cols>
  <sheetData>
    <row r="1" spans="1:6" ht="33">
      <c r="A1" s="1" t="s">
        <v>0</v>
      </c>
      <c r="B1" s="1"/>
      <c r="C1" s="1"/>
      <c r="D1" s="1"/>
      <c r="E1" s="1"/>
      <c r="F1" s="1"/>
    </row>
    <row r="2" spans="1:6" ht="33">
      <c r="A2" s="2" t="s">
        <v>1</v>
      </c>
      <c r="B2" s="2"/>
      <c r="C2" s="2"/>
      <c r="D2" s="2"/>
      <c r="E2" s="2"/>
      <c r="F2" s="2"/>
    </row>
    <row r="3" spans="1:6" ht="33">
      <c r="A3" s="2" t="s">
        <v>2</v>
      </c>
      <c r="B3" s="2"/>
      <c r="C3" s="2"/>
      <c r="D3" s="2"/>
      <c r="E3" s="2"/>
      <c r="F3" s="2"/>
    </row>
    <row r="4" spans="1:6">
      <c r="A4" s="3" t="s">
        <v>3</v>
      </c>
      <c r="B4" s="3"/>
      <c r="C4" s="3"/>
      <c r="D4" s="3"/>
      <c r="E4" s="3"/>
      <c r="F4" s="3"/>
    </row>
    <row r="5" spans="1:6">
      <c r="A5" s="4" t="s">
        <v>4</v>
      </c>
      <c r="B5" s="4"/>
      <c r="C5" s="4"/>
      <c r="D5" s="4"/>
      <c r="E5" s="4"/>
      <c r="F5" s="4"/>
    </row>
    <row r="6" spans="1:6">
      <c r="A6" s="5"/>
      <c r="B6" s="5"/>
      <c r="C6" s="5"/>
      <c r="D6" s="5"/>
      <c r="E6" s="5"/>
      <c r="F6" s="5"/>
    </row>
    <row r="7" spans="1:6" ht="18.75">
      <c r="A7" s="6"/>
      <c r="B7" s="6"/>
      <c r="C7" s="6"/>
      <c r="D7" s="6"/>
      <c r="E7" s="7" t="s">
        <v>365</v>
      </c>
      <c r="F7" s="7"/>
    </row>
    <row r="8" spans="1:6" ht="18.75">
      <c r="A8" s="8" t="s">
        <v>6</v>
      </c>
      <c r="B8" s="8"/>
      <c r="C8" s="9" t="s">
        <v>366</v>
      </c>
      <c r="D8" s="10"/>
      <c r="E8" s="9"/>
      <c r="F8" s="10"/>
    </row>
    <row r="9" spans="1:6" ht="18.75">
      <c r="A9" s="8" t="s">
        <v>8</v>
      </c>
      <c r="B9" s="8"/>
      <c r="C9" s="9" t="s">
        <v>9</v>
      </c>
      <c r="D9" s="10"/>
      <c r="E9" s="9"/>
      <c r="F9" s="9"/>
    </row>
    <row r="10" spans="1:6" ht="18.75">
      <c r="A10" s="8" t="s">
        <v>10</v>
      </c>
      <c r="B10" s="8"/>
      <c r="C10" s="9" t="s">
        <v>11</v>
      </c>
      <c r="D10" s="10"/>
      <c r="E10" s="9"/>
      <c r="F10" s="9"/>
    </row>
    <row r="11" spans="1:6" ht="18.75">
      <c r="A11" s="9"/>
      <c r="B11" s="9"/>
      <c r="C11" s="9"/>
      <c r="D11" s="9"/>
      <c r="E11" s="9"/>
      <c r="F11" s="9"/>
    </row>
    <row r="12" spans="1:6" ht="18.75">
      <c r="A12" s="9"/>
      <c r="B12" s="9" t="s">
        <v>12</v>
      </c>
      <c r="C12" s="10"/>
      <c r="D12" s="10"/>
      <c r="E12" s="9"/>
      <c r="F12" s="9"/>
    </row>
    <row r="13" spans="1:6" ht="18.75">
      <c r="A13" s="9"/>
      <c r="B13" s="9" t="s">
        <v>13</v>
      </c>
      <c r="C13" s="10"/>
      <c r="D13" s="10"/>
      <c r="E13" s="9"/>
      <c r="F13" s="9"/>
    </row>
    <row r="14" spans="1:6" ht="18.75">
      <c r="A14" s="9"/>
      <c r="B14" s="9" t="s">
        <v>14</v>
      </c>
      <c r="C14" s="10"/>
      <c r="D14" s="10"/>
      <c r="E14" s="9"/>
      <c r="F14" s="9"/>
    </row>
    <row r="15" spans="1:6" ht="18.75">
      <c r="A15" s="9"/>
      <c r="B15" s="9" t="s">
        <v>15</v>
      </c>
      <c r="C15" s="10"/>
      <c r="D15" s="10"/>
      <c r="E15" s="9"/>
      <c r="F15" s="9"/>
    </row>
    <row r="16" spans="1:6" ht="18.75">
      <c r="A16" s="9"/>
      <c r="B16" s="9" t="s">
        <v>16</v>
      </c>
      <c r="C16" s="9"/>
      <c r="D16" s="10"/>
      <c r="E16" s="9"/>
      <c r="F16" s="9"/>
    </row>
    <row r="17" spans="1:6" ht="18.75">
      <c r="A17" s="9"/>
      <c r="B17" s="9" t="s">
        <v>17</v>
      </c>
      <c r="C17" s="9"/>
      <c r="D17" s="10"/>
      <c r="E17" s="9"/>
      <c r="F17" s="10"/>
    </row>
    <row r="18" spans="1:6" ht="18.75">
      <c r="A18" s="9"/>
      <c r="B18" s="9" t="s">
        <v>18</v>
      </c>
      <c r="C18" s="9"/>
      <c r="D18" s="10"/>
      <c r="E18" s="9"/>
      <c r="F18" s="9"/>
    </row>
    <row r="19" spans="1:6" ht="18.75">
      <c r="A19" s="9"/>
      <c r="B19" s="10"/>
      <c r="C19" s="9"/>
      <c r="D19" s="9"/>
      <c r="E19" s="9"/>
      <c r="F19" s="9"/>
    </row>
    <row r="20" spans="1:6" ht="19.5">
      <c r="A20" s="9"/>
      <c r="B20" s="11" t="s">
        <v>19</v>
      </c>
      <c r="C20" s="12"/>
      <c r="D20" s="12"/>
      <c r="E20" s="9"/>
      <c r="F20" s="10"/>
    </row>
    <row r="21" spans="1:6" ht="18.75">
      <c r="A21" s="9"/>
      <c r="B21" s="13" t="s">
        <v>20</v>
      </c>
      <c r="C21" s="13"/>
      <c r="D21" s="13"/>
      <c r="E21" s="13"/>
      <c r="F21" s="10"/>
    </row>
    <row r="22" spans="1:6" ht="18.75">
      <c r="A22" s="9"/>
      <c r="B22" s="13" t="s">
        <v>367</v>
      </c>
      <c r="C22" s="13"/>
      <c r="D22" s="13"/>
      <c r="E22" s="13"/>
      <c r="F22" s="10"/>
    </row>
    <row r="23" spans="1:6" ht="15.75">
      <c r="A23" s="14"/>
      <c r="B23" s="14"/>
      <c r="C23" s="14"/>
      <c r="D23" s="14"/>
      <c r="E23" s="15" t="s">
        <v>22</v>
      </c>
      <c r="F23" s="15"/>
    </row>
    <row r="24" spans="1:6" ht="18.75">
      <c r="A24" s="14"/>
      <c r="B24" s="16" t="s">
        <v>23</v>
      </c>
      <c r="C24" s="16" t="s">
        <v>24</v>
      </c>
      <c r="D24" s="17" t="s">
        <v>25</v>
      </c>
      <c r="E24" s="17" t="s">
        <v>26</v>
      </c>
      <c r="F24" s="17" t="s">
        <v>27</v>
      </c>
    </row>
    <row r="25" spans="1:6" ht="18.75">
      <c r="A25" s="14"/>
      <c r="B25" s="18"/>
      <c r="C25" s="18"/>
      <c r="D25" s="19"/>
      <c r="E25" s="19"/>
      <c r="F25" s="19"/>
    </row>
    <row r="26" spans="1:6" ht="15.75">
      <c r="A26" s="14"/>
      <c r="B26" s="20">
        <v>1</v>
      </c>
      <c r="C26" s="21" t="s">
        <v>28</v>
      </c>
      <c r="D26" s="22"/>
      <c r="E26" s="22"/>
      <c r="F26" s="23"/>
    </row>
    <row r="27" spans="1:6" ht="15.75">
      <c r="A27" s="14"/>
      <c r="B27" s="20"/>
      <c r="C27" s="21" t="s">
        <v>29</v>
      </c>
      <c r="D27" s="22"/>
      <c r="E27" s="22"/>
      <c r="F27" s="23"/>
    </row>
    <row r="28" spans="1:6" ht="15.75">
      <c r="A28" s="14"/>
      <c r="B28" s="24"/>
      <c r="C28" s="25" t="s">
        <v>368</v>
      </c>
      <c r="D28" s="26"/>
      <c r="E28" s="26"/>
      <c r="F28" s="26">
        <f>[5]APRIL!F28</f>
        <v>1416271757</v>
      </c>
    </row>
    <row r="29" spans="1:6" ht="15.75">
      <c r="A29" s="14"/>
      <c r="B29" s="24"/>
      <c r="C29" s="25" t="s">
        <v>369</v>
      </c>
      <c r="D29" s="27">
        <f>[6]mei!$G$210</f>
        <v>133405383</v>
      </c>
      <c r="E29" s="28"/>
      <c r="F29" s="26"/>
    </row>
    <row r="30" spans="1:6" ht="15.75">
      <c r="A30" s="14"/>
      <c r="B30" s="24"/>
      <c r="C30" s="25" t="s">
        <v>370</v>
      </c>
      <c r="D30" s="26"/>
      <c r="E30" s="29">
        <f>[6]mei!$I$226</f>
        <v>117126000</v>
      </c>
      <c r="F30" s="26"/>
    </row>
    <row r="31" spans="1:6" ht="15.75">
      <c r="A31" s="14"/>
      <c r="B31" s="24"/>
      <c r="C31" s="30" t="s">
        <v>33</v>
      </c>
      <c r="D31" s="26"/>
      <c r="E31" s="29"/>
      <c r="F31" s="31">
        <f>F28+D29-E30</f>
        <v>1432551140</v>
      </c>
    </row>
    <row r="32" spans="1:6" ht="15.75">
      <c r="A32" s="14"/>
      <c r="B32" s="20"/>
      <c r="C32" s="32" t="s">
        <v>34</v>
      </c>
      <c r="D32" s="33"/>
      <c r="E32" s="33"/>
      <c r="F32" s="34"/>
    </row>
    <row r="33" spans="1:6" ht="15.75">
      <c r="A33" s="14"/>
      <c r="B33" s="24"/>
      <c r="C33" s="35" t="s">
        <v>368</v>
      </c>
      <c r="D33" s="29"/>
      <c r="E33" s="36"/>
      <c r="F33" s="37">
        <f>[5]JANUARI!F33</f>
        <v>2550000</v>
      </c>
    </row>
    <row r="34" spans="1:6" ht="15.75">
      <c r="A34" s="14"/>
      <c r="B34" s="24"/>
      <c r="C34" s="25" t="s">
        <v>369</v>
      </c>
      <c r="D34" s="37">
        <f>0</f>
        <v>0</v>
      </c>
      <c r="E34" s="36"/>
      <c r="F34" s="37"/>
    </row>
    <row r="35" spans="1:6" ht="15.75">
      <c r="A35" s="14"/>
      <c r="B35" s="24"/>
      <c r="C35" s="25" t="s">
        <v>370</v>
      </c>
      <c r="D35" s="29"/>
      <c r="E35" s="36">
        <f>0</f>
        <v>0</v>
      </c>
      <c r="F35" s="37"/>
    </row>
    <row r="36" spans="1:6" ht="15.75">
      <c r="A36" s="14"/>
      <c r="B36" s="24"/>
      <c r="C36" s="30" t="s">
        <v>33</v>
      </c>
      <c r="D36" s="38"/>
      <c r="E36" s="38"/>
      <c r="F36" s="31">
        <f>F33+D34-E35</f>
        <v>2550000</v>
      </c>
    </row>
    <row r="37" spans="1:6" ht="15.75">
      <c r="A37" s="14"/>
      <c r="B37" s="24"/>
      <c r="C37" s="30" t="s">
        <v>35</v>
      </c>
      <c r="D37" s="31">
        <f>D29+D34</f>
        <v>133405383</v>
      </c>
      <c r="E37" s="39">
        <f>E30+E35</f>
        <v>117126000</v>
      </c>
      <c r="F37" s="40">
        <f>F31+F36</f>
        <v>1435101140</v>
      </c>
    </row>
    <row r="38" spans="1:6" ht="15.75">
      <c r="A38" s="14"/>
      <c r="B38" s="20">
        <v>2</v>
      </c>
      <c r="C38" s="32" t="s">
        <v>36</v>
      </c>
      <c r="D38" s="33"/>
      <c r="E38" s="41"/>
      <c r="F38" s="42"/>
    </row>
    <row r="39" spans="1:6" ht="15.75">
      <c r="A39" s="14"/>
      <c r="B39" s="20"/>
      <c r="C39" s="32" t="s">
        <v>29</v>
      </c>
      <c r="D39" s="33"/>
      <c r="E39" s="41"/>
      <c r="F39" s="42"/>
    </row>
    <row r="40" spans="1:6" ht="15.75">
      <c r="A40" s="43"/>
      <c r="B40" s="24"/>
      <c r="C40" s="25" t="s">
        <v>368</v>
      </c>
      <c r="D40" s="26"/>
      <c r="E40" s="44"/>
      <c r="F40" s="39">
        <f>[5]APRIL!F40</f>
        <v>979246098</v>
      </c>
    </row>
    <row r="41" spans="1:6" ht="15.75">
      <c r="A41" s="45"/>
      <c r="B41" s="24"/>
      <c r="C41" s="25" t="s">
        <v>369</v>
      </c>
      <c r="D41" s="46">
        <f>[6]mei!$H$210</f>
        <v>50618374</v>
      </c>
      <c r="E41" s="47"/>
      <c r="F41" s="44"/>
    </row>
    <row r="42" spans="1:6" ht="15.75">
      <c r="A42" s="14"/>
      <c r="B42" s="24"/>
      <c r="C42" s="25" t="s">
        <v>370</v>
      </c>
      <c r="D42" s="28"/>
      <c r="E42" s="48">
        <f>[6]mei!$I$260</f>
        <v>27715869</v>
      </c>
      <c r="F42" s="44"/>
    </row>
    <row r="43" spans="1:6" ht="15.75">
      <c r="A43" s="14"/>
      <c r="B43" s="20"/>
      <c r="C43" s="49" t="s">
        <v>37</v>
      </c>
      <c r="D43" s="38"/>
      <c r="E43" s="50"/>
      <c r="F43" s="51">
        <f>F40+D41-E42</f>
        <v>1002148603</v>
      </c>
    </row>
    <row r="44" spans="1:6" ht="15.75">
      <c r="A44" s="14"/>
      <c r="B44" s="24"/>
      <c r="C44" s="52" t="s">
        <v>371</v>
      </c>
      <c r="D44" s="53">
        <f>D29+D41</f>
        <v>184023757</v>
      </c>
      <c r="E44" s="53">
        <f>E30+E42</f>
        <v>144841869</v>
      </c>
      <c r="F44" s="31">
        <f>F37+F43</f>
        <v>2437249743</v>
      </c>
    </row>
    <row r="45" spans="1:6" ht="15.75">
      <c r="B45" s="54" t="s">
        <v>340</v>
      </c>
      <c r="C45" s="54"/>
      <c r="D45" s="54"/>
      <c r="E45" s="54"/>
      <c r="F45" s="54"/>
    </row>
    <row r="46" spans="1:6" ht="18.75">
      <c r="A46" s="55"/>
      <c r="B46" s="201" t="s">
        <v>341</v>
      </c>
      <c r="C46" s="10"/>
      <c r="D46" s="57"/>
      <c r="E46" s="10"/>
      <c r="F46" s="58"/>
    </row>
    <row r="47" spans="1:6" ht="18.75">
      <c r="A47" s="55"/>
      <c r="B47" s="201" t="s">
        <v>342</v>
      </c>
      <c r="C47" s="10"/>
      <c r="D47" s="57"/>
      <c r="E47" s="10"/>
      <c r="F47" s="58"/>
    </row>
    <row r="48" spans="1:6" ht="18.75">
      <c r="A48" s="55"/>
      <c r="B48" s="201" t="s">
        <v>343</v>
      </c>
      <c r="C48" s="10"/>
      <c r="D48" s="57"/>
      <c r="E48" s="10"/>
      <c r="F48" s="58"/>
    </row>
    <row r="49" spans="1:9" ht="18.75">
      <c r="A49" s="14"/>
      <c r="B49" s="10"/>
      <c r="C49" s="60" t="s">
        <v>40</v>
      </c>
      <c r="D49" s="61"/>
      <c r="E49" s="60"/>
      <c r="F49" s="58"/>
    </row>
    <row r="50" spans="1:9" ht="19.5">
      <c r="A50" s="62"/>
      <c r="B50" s="10"/>
      <c r="C50" s="63" t="s">
        <v>41</v>
      </c>
      <c r="D50" s="64"/>
      <c r="E50" s="65"/>
      <c r="F50" s="66"/>
    </row>
    <row r="51" spans="1:9" ht="18.75">
      <c r="A51" s="62"/>
      <c r="B51" s="66"/>
      <c r="C51" s="67" t="s">
        <v>42</v>
      </c>
      <c r="E51" s="69" t="s">
        <v>43</v>
      </c>
      <c r="F51" s="69"/>
    </row>
    <row r="52" spans="1:9" ht="18.75">
      <c r="A52" s="62"/>
      <c r="B52" s="66"/>
      <c r="C52" s="67"/>
      <c r="E52" s="69"/>
      <c r="F52" s="69"/>
    </row>
    <row r="53" spans="1:9" ht="18.75">
      <c r="A53" s="62"/>
      <c r="B53" s="66"/>
      <c r="C53" s="70" t="s">
        <v>344</v>
      </c>
      <c r="D53" s="193"/>
      <c r="E53" s="202" t="s">
        <v>344</v>
      </c>
      <c r="F53" s="58"/>
    </row>
    <row r="54" spans="1:9" ht="18.75">
      <c r="A54" s="62"/>
      <c r="B54" s="66"/>
      <c r="C54" s="73" t="s">
        <v>45</v>
      </c>
      <c r="E54" s="203" t="s">
        <v>46</v>
      </c>
      <c r="F54" s="203"/>
    </row>
    <row r="55" spans="1:9" ht="18.75">
      <c r="A55" s="59"/>
      <c r="B55" s="76" t="s">
        <v>47</v>
      </c>
      <c r="C55" s="9"/>
      <c r="D55" s="64"/>
      <c r="E55" s="66"/>
      <c r="F55" s="66"/>
    </row>
    <row r="56" spans="1:9" ht="18.75">
      <c r="A56" s="59"/>
      <c r="B56" s="9" t="s">
        <v>48</v>
      </c>
      <c r="C56" s="9"/>
      <c r="D56" s="204"/>
      <c r="E56" s="66"/>
      <c r="F56" s="66"/>
    </row>
    <row r="57" spans="1:9" ht="18.75">
      <c r="A57" s="59"/>
      <c r="B57" s="9" t="s">
        <v>49</v>
      </c>
      <c r="C57" s="9"/>
      <c r="D57" s="9"/>
      <c r="E57" s="66"/>
      <c r="F57" s="66"/>
    </row>
    <row r="58" spans="1:9" ht="18.75">
      <c r="A58" s="59"/>
      <c r="B58" s="9" t="s">
        <v>50</v>
      </c>
      <c r="C58" s="9"/>
      <c r="D58" s="9"/>
      <c r="E58" s="66"/>
      <c r="F58" s="66"/>
    </row>
    <row r="59" spans="1:9" ht="18.75">
      <c r="A59" s="59"/>
      <c r="B59" s="9" t="s">
        <v>51</v>
      </c>
      <c r="C59" s="9"/>
      <c r="D59" s="9"/>
      <c r="E59" s="66"/>
      <c r="F59" s="66"/>
    </row>
    <row r="60" spans="1:9" ht="15.75">
      <c r="B60" s="14"/>
      <c r="C60" s="14"/>
      <c r="D60" s="198"/>
      <c r="E60" s="79"/>
      <c r="F60" s="79"/>
    </row>
    <row r="61" spans="1:9" ht="18.75">
      <c r="A61" s="80" t="s">
        <v>52</v>
      </c>
    </row>
    <row r="63" spans="1:9" ht="22.5">
      <c r="A63" s="81" t="s">
        <v>53</v>
      </c>
      <c r="B63" s="81"/>
      <c r="C63" s="81"/>
      <c r="D63" s="81"/>
      <c r="E63" s="81"/>
      <c r="F63" s="81"/>
      <c r="G63" s="81"/>
      <c r="H63" s="81"/>
      <c r="I63" s="81"/>
    </row>
    <row r="64" spans="1:9" ht="22.5">
      <c r="A64" s="81" t="s">
        <v>54</v>
      </c>
      <c r="B64" s="81"/>
      <c r="C64" s="81"/>
      <c r="D64" s="81"/>
      <c r="E64" s="81"/>
      <c r="F64" s="81"/>
      <c r="G64" s="81"/>
      <c r="H64" s="81"/>
      <c r="I64" s="81"/>
    </row>
    <row r="65" spans="1:9" ht="20.25">
      <c r="A65" s="82" t="s">
        <v>372</v>
      </c>
      <c r="B65" s="82"/>
      <c r="C65" s="82"/>
      <c r="D65" s="82"/>
      <c r="E65" s="82"/>
      <c r="F65" s="82"/>
      <c r="G65" s="82"/>
      <c r="H65" s="82"/>
      <c r="I65" s="82"/>
    </row>
    <row r="66" spans="1:9" ht="15.75" thickBot="1">
      <c r="A66" s="83"/>
      <c r="B66" s="83"/>
      <c r="C66" s="83"/>
      <c r="D66" s="83"/>
      <c r="E66" s="83"/>
      <c r="F66" s="83"/>
      <c r="G66" s="83"/>
      <c r="H66" s="83"/>
      <c r="I66" s="83"/>
    </row>
    <row r="67" spans="1:9" ht="15.75" thickTop="1">
      <c r="A67" s="84" t="s">
        <v>23</v>
      </c>
      <c r="B67" s="85" t="s">
        <v>56</v>
      </c>
      <c r="C67" s="86"/>
      <c r="D67" s="87" t="s">
        <v>57</v>
      </c>
      <c r="E67" s="88"/>
      <c r="F67" s="89" t="s">
        <v>58</v>
      </c>
      <c r="G67" s="87" t="s">
        <v>57</v>
      </c>
      <c r="H67" s="88"/>
      <c r="I67" s="89" t="s">
        <v>58</v>
      </c>
    </row>
    <row r="68" spans="1:9">
      <c r="A68" s="90"/>
      <c r="B68" s="91"/>
      <c r="C68" s="92"/>
      <c r="D68" s="93" t="s">
        <v>346</v>
      </c>
      <c r="E68" s="94"/>
      <c r="F68" s="95"/>
      <c r="G68" s="93" t="s">
        <v>373</v>
      </c>
      <c r="H68" s="94"/>
      <c r="I68" s="95"/>
    </row>
    <row r="69" spans="1:9">
      <c r="A69" s="96"/>
      <c r="B69" s="97"/>
      <c r="C69" s="98"/>
      <c r="D69" s="99" t="s">
        <v>28</v>
      </c>
      <c r="E69" s="99" t="s">
        <v>61</v>
      </c>
      <c r="F69" s="100"/>
      <c r="G69" s="99" t="s">
        <v>28</v>
      </c>
      <c r="H69" s="99" t="s">
        <v>61</v>
      </c>
      <c r="I69" s="100"/>
    </row>
    <row r="70" spans="1:9">
      <c r="A70" s="101" t="s">
        <v>62</v>
      </c>
      <c r="B70" s="102"/>
      <c r="C70" s="102"/>
      <c r="D70" s="102"/>
      <c r="E70" s="102"/>
      <c r="F70" s="102"/>
      <c r="G70" s="102"/>
      <c r="H70" s="102"/>
      <c r="I70" s="103"/>
    </row>
    <row r="71" spans="1:9">
      <c r="A71" s="104">
        <v>1</v>
      </c>
      <c r="B71" s="104">
        <v>1</v>
      </c>
      <c r="C71" s="105" t="s">
        <v>63</v>
      </c>
      <c r="D71" s="106">
        <v>2035800</v>
      </c>
      <c r="E71" s="107">
        <f>0</f>
        <v>0</v>
      </c>
      <c r="F71" s="106">
        <f>SUM(D71:E71)</f>
        <v>2035800</v>
      </c>
      <c r="G71" s="106">
        <v>2085800</v>
      </c>
      <c r="H71" s="107">
        <f>0</f>
        <v>0</v>
      </c>
      <c r="I71" s="106">
        <f>SUM(G71:H71)</f>
        <v>2085800</v>
      </c>
    </row>
    <row r="72" spans="1:9">
      <c r="A72" s="108" t="s">
        <v>58</v>
      </c>
      <c r="B72" s="109"/>
      <c r="C72" s="109"/>
      <c r="D72" s="110">
        <f>D71</f>
        <v>2035800</v>
      </c>
      <c r="E72" s="111">
        <f>E71</f>
        <v>0</v>
      </c>
      <c r="F72" s="112">
        <f>SUM(D72:E72)</f>
        <v>2035800</v>
      </c>
      <c r="G72" s="110">
        <f>G71</f>
        <v>2085800</v>
      </c>
      <c r="H72" s="111">
        <f>H71</f>
        <v>0</v>
      </c>
      <c r="I72" s="112">
        <f>SUM(G72:H72)</f>
        <v>2085800</v>
      </c>
    </row>
    <row r="73" spans="1:9">
      <c r="A73" s="108" t="s">
        <v>64</v>
      </c>
      <c r="B73" s="109"/>
      <c r="C73" s="109"/>
      <c r="D73" s="109"/>
      <c r="E73" s="109"/>
      <c r="F73" s="109"/>
      <c r="G73" s="109"/>
      <c r="H73" s="109"/>
      <c r="I73" s="113"/>
    </row>
    <row r="74" spans="1:9">
      <c r="A74" s="114">
        <v>2</v>
      </c>
      <c r="B74" s="115">
        <v>1</v>
      </c>
      <c r="C74" s="116" t="s">
        <v>65</v>
      </c>
      <c r="D74" s="106">
        <f>0</f>
        <v>0</v>
      </c>
      <c r="E74" s="106">
        <f>0</f>
        <v>0</v>
      </c>
      <c r="F74" s="117">
        <f>SUM(D74:E74)</f>
        <v>0</v>
      </c>
      <c r="G74" s="106">
        <v>1154900</v>
      </c>
      <c r="H74" s="106">
        <v>319000</v>
      </c>
      <c r="I74" s="117">
        <f>SUM(G74:H74)</f>
        <v>1473900</v>
      </c>
    </row>
    <row r="75" spans="1:9">
      <c r="A75" s="114">
        <v>3</v>
      </c>
      <c r="B75" s="115">
        <v>2</v>
      </c>
      <c r="C75" s="116" t="s">
        <v>66</v>
      </c>
      <c r="D75" s="106">
        <v>864469</v>
      </c>
      <c r="E75" s="106">
        <v>296550</v>
      </c>
      <c r="F75" s="117">
        <f t="shared" ref="F75:F83" si="0">SUM(D75:E75)</f>
        <v>1161019</v>
      </c>
      <c r="G75" s="106">
        <v>864469</v>
      </c>
      <c r="H75" s="106">
        <v>296550</v>
      </c>
      <c r="I75" s="117">
        <f t="shared" ref="I75:I83" si="1">SUM(G75:H75)</f>
        <v>1161019</v>
      </c>
    </row>
    <row r="76" spans="1:9">
      <c r="A76" s="114">
        <v>4</v>
      </c>
      <c r="B76" s="115">
        <v>3</v>
      </c>
      <c r="C76" s="116" t="s">
        <v>67</v>
      </c>
      <c r="D76" s="106">
        <v>2394200</v>
      </c>
      <c r="E76" s="118">
        <v>269300</v>
      </c>
      <c r="F76" s="117">
        <f t="shared" si="0"/>
        <v>2663500</v>
      </c>
      <c r="G76" s="106">
        <v>2397600</v>
      </c>
      <c r="H76" s="118">
        <v>270000</v>
      </c>
      <c r="I76" s="117">
        <f t="shared" si="1"/>
        <v>2667600</v>
      </c>
    </row>
    <row r="77" spans="1:9">
      <c r="A77" s="114">
        <v>5</v>
      </c>
      <c r="B77" s="115">
        <v>4</v>
      </c>
      <c r="C77" s="116" t="s">
        <v>68</v>
      </c>
      <c r="D77" s="106">
        <v>1467063</v>
      </c>
      <c r="E77" s="106">
        <v>45000</v>
      </c>
      <c r="F77" s="117">
        <f t="shared" si="0"/>
        <v>1512063</v>
      </c>
      <c r="G77" s="106">
        <v>1467063</v>
      </c>
      <c r="H77" s="106">
        <v>45000</v>
      </c>
      <c r="I77" s="117">
        <f t="shared" si="1"/>
        <v>1512063</v>
      </c>
    </row>
    <row r="78" spans="1:9">
      <c r="A78" s="114">
        <v>6</v>
      </c>
      <c r="B78" s="115">
        <v>5</v>
      </c>
      <c r="C78" s="116" t="s">
        <v>69</v>
      </c>
      <c r="D78" s="106">
        <v>2017800</v>
      </c>
      <c r="E78" s="106">
        <v>147300</v>
      </c>
      <c r="F78" s="117">
        <f t="shared" si="0"/>
        <v>2165100</v>
      </c>
      <c r="G78" s="106">
        <v>2110800</v>
      </c>
      <c r="H78" s="106">
        <v>147300</v>
      </c>
      <c r="I78" s="117">
        <f t="shared" si="1"/>
        <v>2258100</v>
      </c>
    </row>
    <row r="79" spans="1:9">
      <c r="A79" s="114">
        <v>7</v>
      </c>
      <c r="B79" s="115">
        <v>6</v>
      </c>
      <c r="C79" s="116" t="s">
        <v>70</v>
      </c>
      <c r="D79" s="106">
        <v>4128700</v>
      </c>
      <c r="E79" s="106">
        <f>0</f>
        <v>0</v>
      </c>
      <c r="F79" s="117">
        <f t="shared" si="0"/>
        <v>4128700</v>
      </c>
      <c r="G79" s="106">
        <v>4128700</v>
      </c>
      <c r="H79" s="106">
        <f>0</f>
        <v>0</v>
      </c>
      <c r="I79" s="117">
        <f t="shared" si="1"/>
        <v>4128700</v>
      </c>
    </row>
    <row r="80" spans="1:9">
      <c r="A80" s="114">
        <v>8</v>
      </c>
      <c r="B80" s="115">
        <v>7</v>
      </c>
      <c r="C80" s="116" t="s">
        <v>71</v>
      </c>
      <c r="D80" s="106">
        <v>1507300</v>
      </c>
      <c r="E80" s="106">
        <v>1974500</v>
      </c>
      <c r="F80" s="117">
        <f t="shared" si="0"/>
        <v>3481800</v>
      </c>
      <c r="G80" s="106">
        <v>1507300</v>
      </c>
      <c r="H80" s="106">
        <v>1964500</v>
      </c>
      <c r="I80" s="117">
        <f t="shared" si="1"/>
        <v>3471800</v>
      </c>
    </row>
    <row r="81" spans="1:9">
      <c r="A81" s="114">
        <v>9</v>
      </c>
      <c r="B81" s="115">
        <v>8</v>
      </c>
      <c r="C81" s="116" t="s">
        <v>72</v>
      </c>
      <c r="D81" s="106">
        <f>0</f>
        <v>0</v>
      </c>
      <c r="E81" s="106">
        <f>0</f>
        <v>0</v>
      </c>
      <c r="F81" s="117">
        <f t="shared" si="0"/>
        <v>0</v>
      </c>
      <c r="G81" s="106">
        <f>527000+527000</f>
        <v>1054000</v>
      </c>
      <c r="H81" s="106">
        <f>885000+885000</f>
        <v>1770000</v>
      </c>
      <c r="I81" s="117">
        <f t="shared" si="1"/>
        <v>2824000</v>
      </c>
    </row>
    <row r="82" spans="1:9">
      <c r="A82" s="114">
        <v>10</v>
      </c>
      <c r="B82" s="115">
        <v>9</v>
      </c>
      <c r="C82" s="116" t="s">
        <v>73</v>
      </c>
      <c r="D82" s="106">
        <v>1566000</v>
      </c>
      <c r="E82" s="106">
        <v>52000</v>
      </c>
      <c r="F82" s="117">
        <f t="shared" si="0"/>
        <v>1618000</v>
      </c>
      <c r="G82" s="106">
        <v>1503300</v>
      </c>
      <c r="H82" s="106">
        <v>52000</v>
      </c>
      <c r="I82" s="117">
        <f t="shared" si="1"/>
        <v>1555300</v>
      </c>
    </row>
    <row r="83" spans="1:9">
      <c r="A83" s="114">
        <v>11</v>
      </c>
      <c r="B83" s="115">
        <v>10</v>
      </c>
      <c r="C83" s="119" t="s">
        <v>74</v>
      </c>
      <c r="D83" s="106">
        <f>0</f>
        <v>0</v>
      </c>
      <c r="E83" s="106">
        <f>370320+373515</f>
        <v>743835</v>
      </c>
      <c r="F83" s="117">
        <f t="shared" si="0"/>
        <v>743835</v>
      </c>
      <c r="G83" s="106">
        <v>320515</v>
      </c>
      <c r="H83" s="106">
        <v>58000</v>
      </c>
      <c r="I83" s="117">
        <f t="shared" si="1"/>
        <v>378515</v>
      </c>
    </row>
    <row r="84" spans="1:9">
      <c r="A84" s="108" t="s">
        <v>58</v>
      </c>
      <c r="B84" s="109"/>
      <c r="C84" s="109"/>
      <c r="D84" s="110">
        <f>SUM(D74:D83)</f>
        <v>13945532</v>
      </c>
      <c r="E84" s="110">
        <f>SUM(E74:E83)</f>
        <v>3528485</v>
      </c>
      <c r="F84" s="110">
        <f>SUM(D84:E84)</f>
        <v>17474017</v>
      </c>
      <c r="G84" s="110">
        <f>SUM(G74:G83)</f>
        <v>16508647</v>
      </c>
      <c r="H84" s="110">
        <f>SUM(H74:H83)</f>
        <v>4922350</v>
      </c>
      <c r="I84" s="110">
        <f>SUM(G84:H84)</f>
        <v>21430997</v>
      </c>
    </row>
    <row r="85" spans="1:9">
      <c r="A85" s="108" t="s">
        <v>75</v>
      </c>
      <c r="B85" s="109"/>
      <c r="C85" s="109"/>
      <c r="D85" s="109"/>
      <c r="E85" s="109"/>
      <c r="F85" s="109"/>
      <c r="G85" s="109"/>
      <c r="H85" s="109"/>
      <c r="I85" s="113"/>
    </row>
    <row r="86" spans="1:9">
      <c r="A86" s="120">
        <v>12</v>
      </c>
      <c r="B86" s="119">
        <v>1</v>
      </c>
      <c r="C86" s="116" t="s">
        <v>76</v>
      </c>
      <c r="D86" s="106">
        <v>2639415</v>
      </c>
      <c r="E86" s="106">
        <v>1956215</v>
      </c>
      <c r="F86" s="117">
        <f>SUM(D86:E86)</f>
        <v>4595630</v>
      </c>
      <c r="G86" s="106">
        <v>2639415</v>
      </c>
      <c r="H86" s="106">
        <v>1926215</v>
      </c>
      <c r="I86" s="117">
        <f>SUM(G86:H86)</f>
        <v>4565630</v>
      </c>
    </row>
    <row r="87" spans="1:9">
      <c r="A87" s="120">
        <v>13</v>
      </c>
      <c r="B87" s="119">
        <v>2</v>
      </c>
      <c r="C87" s="116" t="s">
        <v>77</v>
      </c>
      <c r="D87" s="106">
        <v>3756686</v>
      </c>
      <c r="E87" s="106">
        <v>5180000</v>
      </c>
      <c r="F87" s="117">
        <f t="shared" ref="F87:F99" si="2">SUM(D87:E87)</f>
        <v>8936686</v>
      </c>
      <c r="G87" s="106">
        <v>3761828</v>
      </c>
      <c r="H87" s="106">
        <v>5185000</v>
      </c>
      <c r="I87" s="117">
        <f t="shared" ref="I87:I99" si="3">SUM(G87:H87)</f>
        <v>8946828</v>
      </c>
    </row>
    <row r="88" spans="1:9">
      <c r="A88" s="120">
        <v>14</v>
      </c>
      <c r="B88" s="119">
        <v>3</v>
      </c>
      <c r="C88" s="116" t="s">
        <v>78</v>
      </c>
      <c r="D88" s="106">
        <v>2913300</v>
      </c>
      <c r="E88" s="106">
        <v>792000</v>
      </c>
      <c r="F88" s="117">
        <f t="shared" si="2"/>
        <v>3705300</v>
      </c>
      <c r="G88" s="106">
        <v>2845300</v>
      </c>
      <c r="H88" s="106">
        <v>790000</v>
      </c>
      <c r="I88" s="117">
        <f t="shared" si="3"/>
        <v>3635300</v>
      </c>
    </row>
    <row r="89" spans="1:9">
      <c r="A89" s="120">
        <v>15</v>
      </c>
      <c r="B89" s="119">
        <v>4</v>
      </c>
      <c r="C89" s="116" t="s">
        <v>79</v>
      </c>
      <c r="D89" s="106">
        <v>966440</v>
      </c>
      <c r="E89" s="106">
        <v>1475392</v>
      </c>
      <c r="F89" s="117">
        <f t="shared" si="2"/>
        <v>2441832</v>
      </c>
      <c r="G89" s="106">
        <v>966440</v>
      </c>
      <c r="H89" s="106">
        <v>1475392</v>
      </c>
      <c r="I89" s="117">
        <f t="shared" si="3"/>
        <v>2441832</v>
      </c>
    </row>
    <row r="90" spans="1:9">
      <c r="A90" s="120">
        <v>16</v>
      </c>
      <c r="B90" s="119">
        <v>5</v>
      </c>
      <c r="C90" s="116" t="s">
        <v>80</v>
      </c>
      <c r="D90" s="106">
        <v>2876700</v>
      </c>
      <c r="E90" s="106">
        <v>110000</v>
      </c>
      <c r="F90" s="117">
        <f t="shared" si="2"/>
        <v>2986700</v>
      </c>
      <c r="G90" s="106">
        <v>2885200</v>
      </c>
      <c r="H90" s="106">
        <v>110000</v>
      </c>
      <c r="I90" s="117">
        <f t="shared" si="3"/>
        <v>2995200</v>
      </c>
    </row>
    <row r="91" spans="1:9">
      <c r="A91" s="120">
        <v>17</v>
      </c>
      <c r="B91" s="119">
        <v>6</v>
      </c>
      <c r="C91" s="116" t="s">
        <v>81</v>
      </c>
      <c r="D91" s="106">
        <v>2089500</v>
      </c>
      <c r="E91" s="106">
        <v>153000</v>
      </c>
      <c r="F91" s="117">
        <f t="shared" si="2"/>
        <v>2242500</v>
      </c>
      <c r="G91" s="106">
        <v>2089500</v>
      </c>
      <c r="H91" s="106">
        <v>153000</v>
      </c>
      <c r="I91" s="117">
        <f t="shared" si="3"/>
        <v>2242500</v>
      </c>
    </row>
    <row r="92" spans="1:9">
      <c r="A92" s="120">
        <v>18</v>
      </c>
      <c r="B92" s="119">
        <v>7</v>
      </c>
      <c r="C92" s="116" t="s">
        <v>82</v>
      </c>
      <c r="D92" s="106">
        <v>4344700</v>
      </c>
      <c r="E92" s="106">
        <v>189800</v>
      </c>
      <c r="F92" s="117">
        <f t="shared" si="2"/>
        <v>4534500</v>
      </c>
      <c r="G92" s="106">
        <v>4344700</v>
      </c>
      <c r="H92" s="106">
        <v>189800</v>
      </c>
      <c r="I92" s="117">
        <f t="shared" si="3"/>
        <v>4534500</v>
      </c>
    </row>
    <row r="93" spans="1:9">
      <c r="A93" s="120">
        <v>19</v>
      </c>
      <c r="B93" s="119">
        <v>8</v>
      </c>
      <c r="C93" s="116" t="s">
        <v>83</v>
      </c>
      <c r="D93" s="106">
        <v>1056888</v>
      </c>
      <c r="E93" s="106">
        <v>941000</v>
      </c>
      <c r="F93" s="117">
        <f t="shared" si="2"/>
        <v>1997888</v>
      </c>
      <c r="G93" s="106">
        <v>1063853</v>
      </c>
      <c r="H93" s="106">
        <v>941000</v>
      </c>
      <c r="I93" s="117">
        <f t="shared" si="3"/>
        <v>2004853</v>
      </c>
    </row>
    <row r="94" spans="1:9">
      <c r="A94" s="120">
        <v>20</v>
      </c>
      <c r="B94" s="119">
        <v>9</v>
      </c>
      <c r="C94" s="116" t="s">
        <v>84</v>
      </c>
      <c r="D94" s="106">
        <v>748000</v>
      </c>
      <c r="E94" s="106">
        <v>162000</v>
      </c>
      <c r="F94" s="117">
        <f t="shared" si="2"/>
        <v>910000</v>
      </c>
      <c r="G94" s="106">
        <f>748000+748000</f>
        <v>1496000</v>
      </c>
      <c r="H94" s="106">
        <f>162000+152000</f>
        <v>314000</v>
      </c>
      <c r="I94" s="117">
        <f t="shared" si="3"/>
        <v>1810000</v>
      </c>
    </row>
    <row r="95" spans="1:9">
      <c r="A95" s="120">
        <v>21</v>
      </c>
      <c r="B95" s="119">
        <v>10</v>
      </c>
      <c r="C95" s="116" t="s">
        <v>85</v>
      </c>
      <c r="D95" s="106">
        <v>3252342</v>
      </c>
      <c r="E95" s="106">
        <v>59000</v>
      </c>
      <c r="F95" s="117">
        <f t="shared" si="2"/>
        <v>3311342</v>
      </c>
      <c r="G95" s="106">
        <v>3244342</v>
      </c>
      <c r="H95" s="106">
        <v>59000</v>
      </c>
      <c r="I95" s="117">
        <f t="shared" si="3"/>
        <v>3303342</v>
      </c>
    </row>
    <row r="96" spans="1:9">
      <c r="A96" s="120">
        <v>22</v>
      </c>
      <c r="B96" s="119">
        <v>11</v>
      </c>
      <c r="C96" s="116" t="s">
        <v>86</v>
      </c>
      <c r="D96" s="106">
        <v>2785678</v>
      </c>
      <c r="E96" s="106">
        <v>1370000</v>
      </c>
      <c r="F96" s="117">
        <f t="shared" si="2"/>
        <v>4155678</v>
      </c>
      <c r="G96" s="106">
        <v>2798226</v>
      </c>
      <c r="H96" s="106">
        <v>1370000</v>
      </c>
      <c r="I96" s="117">
        <f t="shared" si="3"/>
        <v>4168226</v>
      </c>
    </row>
    <row r="97" spans="1:9">
      <c r="A97" s="120">
        <v>23</v>
      </c>
      <c r="B97" s="119">
        <v>12</v>
      </c>
      <c r="C97" s="116" t="s">
        <v>87</v>
      </c>
      <c r="D97" s="106">
        <v>1650300</v>
      </c>
      <c r="E97" s="106">
        <v>494192</v>
      </c>
      <c r="F97" s="117">
        <f t="shared" si="2"/>
        <v>2144492</v>
      </c>
      <c r="G97" s="106">
        <v>1650300</v>
      </c>
      <c r="H97" s="106">
        <v>494192</v>
      </c>
      <c r="I97" s="117">
        <f t="shared" si="3"/>
        <v>2144492</v>
      </c>
    </row>
    <row r="98" spans="1:9">
      <c r="A98" s="120">
        <v>24</v>
      </c>
      <c r="B98" s="119">
        <v>13</v>
      </c>
      <c r="C98" s="116" t="s">
        <v>88</v>
      </c>
      <c r="D98" s="106">
        <v>1650500</v>
      </c>
      <c r="E98" s="106">
        <v>675000</v>
      </c>
      <c r="F98" s="117">
        <f t="shared" si="2"/>
        <v>2325500</v>
      </c>
      <c r="G98" s="106">
        <v>1650500</v>
      </c>
      <c r="H98" s="106">
        <v>675000</v>
      </c>
      <c r="I98" s="117">
        <f t="shared" si="3"/>
        <v>2325500</v>
      </c>
    </row>
    <row r="99" spans="1:9">
      <c r="A99" s="120">
        <v>25</v>
      </c>
      <c r="B99" s="119">
        <v>14</v>
      </c>
      <c r="C99" s="116" t="s">
        <v>89</v>
      </c>
      <c r="D99" s="106">
        <f>0</f>
        <v>0</v>
      </c>
      <c r="E99" s="106">
        <f>0</f>
        <v>0</v>
      </c>
      <c r="F99" s="117">
        <f t="shared" si="2"/>
        <v>0</v>
      </c>
      <c r="G99" s="106">
        <v>568000</v>
      </c>
      <c r="H99" s="106">
        <v>324390</v>
      </c>
      <c r="I99" s="117">
        <f t="shared" si="3"/>
        <v>892390</v>
      </c>
    </row>
    <row r="100" spans="1:9">
      <c r="A100" s="108" t="s">
        <v>58</v>
      </c>
      <c r="B100" s="109"/>
      <c r="C100" s="109"/>
      <c r="D100" s="110">
        <f>SUM(D86:D99)</f>
        <v>30730449</v>
      </c>
      <c r="E100" s="110">
        <f>SUM(E86:E99)</f>
        <v>13557599</v>
      </c>
      <c r="F100" s="110">
        <f>SUM(D100:E100)</f>
        <v>44288048</v>
      </c>
      <c r="G100" s="110">
        <f>SUM(G86:G99)</f>
        <v>32003604</v>
      </c>
      <c r="H100" s="110">
        <f>SUM(H86:H99)</f>
        <v>14006989</v>
      </c>
      <c r="I100" s="110">
        <f>SUM(G100:H100)</f>
        <v>46010593</v>
      </c>
    </row>
    <row r="101" spans="1:9">
      <c r="A101" s="108" t="s">
        <v>90</v>
      </c>
      <c r="B101" s="109"/>
      <c r="C101" s="109"/>
      <c r="D101" s="109"/>
      <c r="E101" s="109"/>
      <c r="F101" s="109"/>
      <c r="G101" s="109"/>
      <c r="H101" s="109"/>
      <c r="I101" s="113"/>
    </row>
    <row r="102" spans="1:9">
      <c r="A102" s="119">
        <v>26</v>
      </c>
      <c r="B102" s="119">
        <v>1</v>
      </c>
      <c r="C102" s="116" t="s">
        <v>91</v>
      </c>
      <c r="D102" s="106">
        <v>350000</v>
      </c>
      <c r="E102" s="106">
        <v>305000</v>
      </c>
      <c r="F102" s="117">
        <f>SUM(D102:E102)</f>
        <v>655000</v>
      </c>
      <c r="G102" s="106">
        <v>350000</v>
      </c>
      <c r="H102" s="106">
        <v>305000</v>
      </c>
      <c r="I102" s="117">
        <f>SUM(G102:H102)</f>
        <v>655000</v>
      </c>
    </row>
    <row r="103" spans="1:9">
      <c r="A103" s="119">
        <v>27</v>
      </c>
      <c r="B103" s="119">
        <v>2</v>
      </c>
      <c r="C103" s="121" t="s">
        <v>92</v>
      </c>
      <c r="D103" s="106">
        <f>0</f>
        <v>0</v>
      </c>
      <c r="E103" s="106">
        <f>0</f>
        <v>0</v>
      </c>
      <c r="F103" s="117">
        <f t="shared" ref="F103:F110" si="4">SUM(D103:E103)</f>
        <v>0</v>
      </c>
      <c r="G103" s="106">
        <f>0</f>
        <v>0</v>
      </c>
      <c r="H103" s="106">
        <f>0</f>
        <v>0</v>
      </c>
      <c r="I103" s="117">
        <f t="shared" ref="I103:I110" si="5">SUM(G103:H103)</f>
        <v>0</v>
      </c>
    </row>
    <row r="104" spans="1:9">
      <c r="A104" s="119">
        <v>28</v>
      </c>
      <c r="B104" s="119">
        <v>3</v>
      </c>
      <c r="C104" s="121" t="s">
        <v>93</v>
      </c>
      <c r="D104" s="106">
        <f>384000+384000</f>
        <v>768000</v>
      </c>
      <c r="E104" s="106">
        <f>60000+60000</f>
        <v>120000</v>
      </c>
      <c r="F104" s="117">
        <f t="shared" si="4"/>
        <v>888000</v>
      </c>
      <c r="G104" s="106">
        <f>0</f>
        <v>0</v>
      </c>
      <c r="H104" s="106">
        <f>0</f>
        <v>0</v>
      </c>
      <c r="I104" s="117">
        <f t="shared" si="5"/>
        <v>0</v>
      </c>
    </row>
    <row r="105" spans="1:9">
      <c r="A105" s="119">
        <v>29</v>
      </c>
      <c r="B105" s="119">
        <v>4</v>
      </c>
      <c r="C105" s="121" t="s">
        <v>94</v>
      </c>
      <c r="D105" s="106">
        <v>250000</v>
      </c>
      <c r="E105" s="106">
        <v>185000</v>
      </c>
      <c r="F105" s="117">
        <f t="shared" si="4"/>
        <v>435000</v>
      </c>
      <c r="G105" s="106">
        <v>250000</v>
      </c>
      <c r="H105" s="106">
        <v>185000</v>
      </c>
      <c r="I105" s="117">
        <f t="shared" si="5"/>
        <v>435000</v>
      </c>
    </row>
    <row r="106" spans="1:9">
      <c r="A106" s="119">
        <v>30</v>
      </c>
      <c r="B106" s="119">
        <v>5</v>
      </c>
      <c r="C106" s="121" t="s">
        <v>95</v>
      </c>
      <c r="D106" s="106">
        <v>148000</v>
      </c>
      <c r="E106" s="106">
        <v>260000</v>
      </c>
      <c r="F106" s="117">
        <f t="shared" si="4"/>
        <v>408000</v>
      </c>
      <c r="G106" s="106">
        <v>148000</v>
      </c>
      <c r="H106" s="106">
        <v>260000</v>
      </c>
      <c r="I106" s="117">
        <f t="shared" si="5"/>
        <v>408000</v>
      </c>
    </row>
    <row r="107" spans="1:9">
      <c r="A107" s="119">
        <v>31</v>
      </c>
      <c r="B107" s="119">
        <v>6</v>
      </c>
      <c r="C107" s="121" t="s">
        <v>96</v>
      </c>
      <c r="D107" s="106">
        <v>437500</v>
      </c>
      <c r="E107" s="106">
        <v>42000</v>
      </c>
      <c r="F107" s="117">
        <f t="shared" si="4"/>
        <v>479500</v>
      </c>
      <c r="G107" s="106">
        <v>437500</v>
      </c>
      <c r="H107" s="106">
        <v>42000</v>
      </c>
      <c r="I107" s="117">
        <f t="shared" si="5"/>
        <v>479500</v>
      </c>
    </row>
    <row r="108" spans="1:9">
      <c r="A108" s="119">
        <v>32</v>
      </c>
      <c r="B108" s="119">
        <v>7</v>
      </c>
      <c r="C108" s="121" t="s">
        <v>97</v>
      </c>
      <c r="D108" s="106">
        <f>687800+1247098</f>
        <v>1934898</v>
      </c>
      <c r="E108" s="106">
        <f>337500+35000</f>
        <v>372500</v>
      </c>
      <c r="F108" s="117">
        <f t="shared" si="4"/>
        <v>2307398</v>
      </c>
      <c r="G108" s="106">
        <v>687800</v>
      </c>
      <c r="H108" s="106">
        <v>337500</v>
      </c>
      <c r="I108" s="117">
        <f t="shared" si="5"/>
        <v>1025300</v>
      </c>
    </row>
    <row r="109" spans="1:9">
      <c r="A109" s="119">
        <v>33</v>
      </c>
      <c r="B109" s="119">
        <v>8</v>
      </c>
      <c r="C109" s="121" t="s">
        <v>98</v>
      </c>
      <c r="D109" s="106">
        <v>460400</v>
      </c>
      <c r="E109" s="106">
        <v>84000</v>
      </c>
      <c r="F109" s="117">
        <f t="shared" si="4"/>
        <v>544400</v>
      </c>
      <c r="G109" s="106">
        <v>460400</v>
      </c>
      <c r="H109" s="106">
        <v>84000</v>
      </c>
      <c r="I109" s="117">
        <f t="shared" si="5"/>
        <v>544400</v>
      </c>
    </row>
    <row r="110" spans="1:9">
      <c r="A110" s="119">
        <v>34</v>
      </c>
      <c r="B110" s="119">
        <v>9</v>
      </c>
      <c r="C110" s="122" t="s">
        <v>99</v>
      </c>
      <c r="D110" s="106">
        <v>520400</v>
      </c>
      <c r="E110" s="106">
        <v>283000</v>
      </c>
      <c r="F110" s="117">
        <f t="shared" si="4"/>
        <v>803400</v>
      </c>
      <c r="G110" s="106">
        <v>466950</v>
      </c>
      <c r="H110" s="106">
        <v>283000</v>
      </c>
      <c r="I110" s="117">
        <f t="shared" si="5"/>
        <v>749950</v>
      </c>
    </row>
    <row r="111" spans="1:9">
      <c r="A111" s="108" t="s">
        <v>101</v>
      </c>
      <c r="B111" s="109"/>
      <c r="C111" s="123"/>
      <c r="D111" s="110">
        <f>SUM(D102:D110)</f>
        <v>4869198</v>
      </c>
      <c r="E111" s="110">
        <f>SUM(E102:E110)</f>
        <v>1651500</v>
      </c>
      <c r="F111" s="110">
        <f>SUM(D111:E111)</f>
        <v>6520698</v>
      </c>
      <c r="G111" s="110">
        <f>SUM(G102:G110)</f>
        <v>2800650</v>
      </c>
      <c r="H111" s="110">
        <f>SUM(H102:H110)</f>
        <v>1496500</v>
      </c>
      <c r="I111" s="110">
        <f>SUM(G111:H111)</f>
        <v>4297150</v>
      </c>
    </row>
    <row r="112" spans="1:9">
      <c r="A112" s="108" t="s">
        <v>102</v>
      </c>
      <c r="B112" s="109"/>
      <c r="C112" s="109"/>
      <c r="D112" s="109"/>
      <c r="E112" s="109"/>
      <c r="F112" s="109"/>
      <c r="G112" s="109"/>
      <c r="H112" s="109"/>
      <c r="I112" s="113"/>
    </row>
    <row r="113" spans="1:9">
      <c r="A113" s="119">
        <v>35</v>
      </c>
      <c r="B113" s="119">
        <v>1</v>
      </c>
      <c r="C113" s="116" t="s">
        <v>103</v>
      </c>
      <c r="D113" s="106">
        <v>100000</v>
      </c>
      <c r="E113" s="106">
        <v>60000</v>
      </c>
      <c r="F113" s="117">
        <f>SUM(D113:E113)</f>
        <v>160000</v>
      </c>
      <c r="G113" s="106">
        <v>100000</v>
      </c>
      <c r="H113" s="106">
        <v>60000</v>
      </c>
      <c r="I113" s="117">
        <f>SUM(G113:H113)</f>
        <v>160000</v>
      </c>
    </row>
    <row r="114" spans="1:9">
      <c r="A114" s="119">
        <v>36</v>
      </c>
      <c r="B114" s="119">
        <v>2</v>
      </c>
      <c r="C114" s="116" t="s">
        <v>104</v>
      </c>
      <c r="D114" s="106">
        <f>0</f>
        <v>0</v>
      </c>
      <c r="E114" s="106">
        <f>0</f>
        <v>0</v>
      </c>
      <c r="F114" s="117">
        <f>SUM(D114:E114)</f>
        <v>0</v>
      </c>
      <c r="G114" s="106">
        <f>0</f>
        <v>0</v>
      </c>
      <c r="H114" s="106">
        <f>0</f>
        <v>0</v>
      </c>
      <c r="I114" s="117">
        <f>SUM(G114:H114)</f>
        <v>0</v>
      </c>
    </row>
    <row r="115" spans="1:9">
      <c r="A115" s="119">
        <v>37</v>
      </c>
      <c r="B115" s="119">
        <v>3</v>
      </c>
      <c r="C115" s="116" t="s">
        <v>105</v>
      </c>
      <c r="D115" s="106">
        <v>1378700</v>
      </c>
      <c r="E115" s="106">
        <f>0</f>
        <v>0</v>
      </c>
      <c r="F115" s="117">
        <f>SUM(D115:E115)</f>
        <v>1378700</v>
      </c>
      <c r="G115" s="106">
        <v>1378700</v>
      </c>
      <c r="H115" s="106">
        <f>0</f>
        <v>0</v>
      </c>
      <c r="I115" s="117">
        <f>SUM(G115:H115)</f>
        <v>1378700</v>
      </c>
    </row>
    <row r="116" spans="1:9">
      <c r="A116" s="119">
        <v>38</v>
      </c>
      <c r="B116" s="119">
        <v>5</v>
      </c>
      <c r="C116" s="116" t="s">
        <v>106</v>
      </c>
      <c r="D116" s="106">
        <v>382700</v>
      </c>
      <c r="E116" s="106">
        <v>100000</v>
      </c>
      <c r="F116" s="117">
        <f>SUM(D116:E116)</f>
        <v>482700</v>
      </c>
      <c r="G116" s="106">
        <v>382700</v>
      </c>
      <c r="H116" s="106">
        <v>100000</v>
      </c>
      <c r="I116" s="117">
        <f>SUM(G116:H116)</f>
        <v>482700</v>
      </c>
    </row>
    <row r="117" spans="1:9">
      <c r="A117" s="108" t="s">
        <v>58</v>
      </c>
      <c r="B117" s="109"/>
      <c r="C117" s="109"/>
      <c r="D117" s="110">
        <f>SUM(D113:D116)</f>
        <v>1861400</v>
      </c>
      <c r="E117" s="110">
        <f>SUM(E113:E116)</f>
        <v>160000</v>
      </c>
      <c r="F117" s="110">
        <f>SUM(D117:E117)</f>
        <v>2021400</v>
      </c>
      <c r="G117" s="110">
        <f>SUM(G113:G116)</f>
        <v>1861400</v>
      </c>
      <c r="H117" s="110">
        <f>SUM(H113:H116)</f>
        <v>160000</v>
      </c>
      <c r="I117" s="110">
        <f>SUM(G117:H117)</f>
        <v>2021400</v>
      </c>
    </row>
    <row r="118" spans="1:9">
      <c r="A118" s="108" t="s">
        <v>107</v>
      </c>
      <c r="B118" s="109"/>
      <c r="C118" s="109"/>
      <c r="D118" s="109"/>
      <c r="E118" s="109"/>
      <c r="F118" s="109"/>
      <c r="G118" s="109"/>
      <c r="H118" s="109"/>
      <c r="I118" s="113"/>
    </row>
    <row r="119" spans="1:9">
      <c r="A119" s="119">
        <v>39</v>
      </c>
      <c r="B119" s="119">
        <v>1</v>
      </c>
      <c r="C119" s="119" t="s">
        <v>108</v>
      </c>
      <c r="D119" s="106">
        <v>500000</v>
      </c>
      <c r="E119" s="106">
        <v>100000</v>
      </c>
      <c r="F119" s="117">
        <f>SUM(D119:E119)</f>
        <v>600000</v>
      </c>
      <c r="G119" s="106">
        <v>500000</v>
      </c>
      <c r="H119" s="106">
        <v>100000</v>
      </c>
      <c r="I119" s="117">
        <f>SUM(G119:H119)</f>
        <v>600000</v>
      </c>
    </row>
    <row r="120" spans="1:9">
      <c r="A120" s="108" t="s">
        <v>101</v>
      </c>
      <c r="B120" s="109"/>
      <c r="C120" s="109"/>
      <c r="D120" s="110">
        <f>D119</f>
        <v>500000</v>
      </c>
      <c r="E120" s="110">
        <f>E119</f>
        <v>100000</v>
      </c>
      <c r="F120" s="110">
        <f>SUM(D120:E120)</f>
        <v>600000</v>
      </c>
      <c r="G120" s="110">
        <f>G119</f>
        <v>500000</v>
      </c>
      <c r="H120" s="110">
        <f>H119</f>
        <v>100000</v>
      </c>
      <c r="I120" s="110">
        <f>SUM(G120:H120)</f>
        <v>600000</v>
      </c>
    </row>
    <row r="121" spans="1:9">
      <c r="A121" s="108" t="s">
        <v>109</v>
      </c>
      <c r="B121" s="109"/>
      <c r="C121" s="109"/>
      <c r="D121" s="109"/>
      <c r="E121" s="109"/>
      <c r="F121" s="109"/>
      <c r="G121" s="109"/>
      <c r="H121" s="109"/>
      <c r="I121" s="113"/>
    </row>
    <row r="122" spans="1:9">
      <c r="A122" s="119">
        <v>40</v>
      </c>
      <c r="B122" s="119">
        <v>1</v>
      </c>
      <c r="C122" s="121" t="s">
        <v>110</v>
      </c>
      <c r="D122" s="106">
        <v>1718276</v>
      </c>
      <c r="E122" s="106">
        <v>510650</v>
      </c>
      <c r="F122" s="117">
        <f>SUM(D122:E122)</f>
        <v>2228926</v>
      </c>
      <c r="G122" s="106">
        <v>1722296</v>
      </c>
      <c r="H122" s="106">
        <v>510650</v>
      </c>
      <c r="I122" s="117">
        <f>SUM(G122:H122)</f>
        <v>2232946</v>
      </c>
    </row>
    <row r="123" spans="1:9">
      <c r="A123" s="108" t="s">
        <v>101</v>
      </c>
      <c r="B123" s="109"/>
      <c r="C123" s="109"/>
      <c r="D123" s="110">
        <f>D122</f>
        <v>1718276</v>
      </c>
      <c r="E123" s="110">
        <f>E122</f>
        <v>510650</v>
      </c>
      <c r="F123" s="110">
        <f>SUM(D123:E123)</f>
        <v>2228926</v>
      </c>
      <c r="G123" s="110">
        <f>G122</f>
        <v>1722296</v>
      </c>
      <c r="H123" s="110">
        <f>H122</f>
        <v>510650</v>
      </c>
      <c r="I123" s="110">
        <f>SUM(G123:H123)</f>
        <v>2232946</v>
      </c>
    </row>
    <row r="124" spans="1:9">
      <c r="A124" s="108" t="s">
        <v>111</v>
      </c>
      <c r="B124" s="109"/>
      <c r="C124" s="109"/>
      <c r="D124" s="109"/>
      <c r="E124" s="109"/>
      <c r="F124" s="109"/>
      <c r="G124" s="109"/>
      <c r="H124" s="109"/>
      <c r="I124" s="113"/>
    </row>
    <row r="125" spans="1:9">
      <c r="A125" s="119">
        <v>41</v>
      </c>
      <c r="B125" s="119">
        <v>1</v>
      </c>
      <c r="C125" s="121" t="s">
        <v>112</v>
      </c>
      <c r="D125" s="106">
        <v>1654500</v>
      </c>
      <c r="E125" s="106">
        <v>649500</v>
      </c>
      <c r="F125" s="117">
        <f>SUM(D125:E125)</f>
        <v>2304000</v>
      </c>
      <c r="G125" s="106">
        <v>1654500</v>
      </c>
      <c r="H125" s="106">
        <v>649500</v>
      </c>
      <c r="I125" s="117">
        <f>SUM(G125:H125)</f>
        <v>2304000</v>
      </c>
    </row>
    <row r="126" spans="1:9">
      <c r="A126" s="119">
        <v>42</v>
      </c>
      <c r="B126" s="119">
        <v>2</v>
      </c>
      <c r="C126" s="121" t="s">
        <v>113</v>
      </c>
      <c r="D126" s="106">
        <v>831000</v>
      </c>
      <c r="E126" s="106">
        <v>330000</v>
      </c>
      <c r="F126" s="117">
        <f t="shared" ref="F126:F137" si="6">SUM(D126:E126)</f>
        <v>1161000</v>
      </c>
      <c r="G126" s="106">
        <f>0</f>
        <v>0</v>
      </c>
      <c r="H126" s="106">
        <v>330000</v>
      </c>
      <c r="I126" s="117">
        <f t="shared" ref="I126:I144" si="7">SUM(G126:H126)</f>
        <v>330000</v>
      </c>
    </row>
    <row r="127" spans="1:9">
      <c r="A127" s="119">
        <v>43</v>
      </c>
      <c r="B127" s="119">
        <v>3</v>
      </c>
      <c r="C127" s="125" t="s">
        <v>114</v>
      </c>
      <c r="D127" s="106">
        <v>1623000</v>
      </c>
      <c r="E127" s="106">
        <f>0</f>
        <v>0</v>
      </c>
      <c r="F127" s="117">
        <f t="shared" si="6"/>
        <v>1623000</v>
      </c>
      <c r="G127" s="106">
        <v>1623000</v>
      </c>
      <c r="H127" s="106">
        <f>0</f>
        <v>0</v>
      </c>
      <c r="I127" s="117">
        <f t="shared" si="7"/>
        <v>1623000</v>
      </c>
    </row>
    <row r="128" spans="1:9">
      <c r="A128" s="119">
        <v>44</v>
      </c>
      <c r="B128" s="124">
        <v>4</v>
      </c>
      <c r="C128" s="125" t="s">
        <v>115</v>
      </c>
      <c r="D128" s="106">
        <f>0</f>
        <v>0</v>
      </c>
      <c r="E128" s="106">
        <v>224000</v>
      </c>
      <c r="F128" s="117">
        <f t="shared" si="6"/>
        <v>224000</v>
      </c>
      <c r="G128" s="106">
        <f>0</f>
        <v>0</v>
      </c>
      <c r="H128" s="106">
        <f>224000+300000+260000</f>
        <v>784000</v>
      </c>
      <c r="I128" s="117">
        <f t="shared" si="7"/>
        <v>784000</v>
      </c>
    </row>
    <row r="129" spans="1:9">
      <c r="A129" s="119">
        <v>45</v>
      </c>
      <c r="B129" s="119">
        <v>5</v>
      </c>
      <c r="C129" s="125" t="s">
        <v>116</v>
      </c>
      <c r="D129" s="106">
        <v>505700</v>
      </c>
      <c r="E129" s="106">
        <v>161000</v>
      </c>
      <c r="F129" s="117">
        <f t="shared" si="6"/>
        <v>666700</v>
      </c>
      <c r="G129" s="106">
        <v>505700</v>
      </c>
      <c r="H129" s="106">
        <v>161000</v>
      </c>
      <c r="I129" s="117">
        <f t="shared" si="7"/>
        <v>666700</v>
      </c>
    </row>
    <row r="130" spans="1:9">
      <c r="A130" s="119">
        <v>46</v>
      </c>
      <c r="B130" s="119">
        <v>6</v>
      </c>
      <c r="C130" s="125" t="s">
        <v>117</v>
      </c>
      <c r="D130" s="106">
        <v>801817</v>
      </c>
      <c r="E130" s="106">
        <v>135000</v>
      </c>
      <c r="F130" s="117">
        <f t="shared" si="6"/>
        <v>936817</v>
      </c>
      <c r="G130" s="106">
        <f>0</f>
        <v>0</v>
      </c>
      <c r="H130" s="106">
        <f>0</f>
        <v>0</v>
      </c>
      <c r="I130" s="117">
        <f t="shared" si="7"/>
        <v>0</v>
      </c>
    </row>
    <row r="131" spans="1:9">
      <c r="A131" s="119">
        <v>47</v>
      </c>
      <c r="B131" s="119">
        <v>7</v>
      </c>
      <c r="C131" s="125" t="s">
        <v>118</v>
      </c>
      <c r="D131" s="106">
        <v>724000</v>
      </c>
      <c r="E131" s="106">
        <v>150000</v>
      </c>
      <c r="F131" s="117">
        <f t="shared" si="6"/>
        <v>874000</v>
      </c>
      <c r="G131" s="106">
        <v>724000</v>
      </c>
      <c r="H131" s="106">
        <v>150000</v>
      </c>
      <c r="I131" s="117">
        <f t="shared" si="7"/>
        <v>874000</v>
      </c>
    </row>
    <row r="132" spans="1:9">
      <c r="A132" s="119">
        <v>48</v>
      </c>
      <c r="B132" s="119">
        <v>8</v>
      </c>
      <c r="C132" s="121" t="s">
        <v>119</v>
      </c>
      <c r="D132" s="106">
        <v>615000</v>
      </c>
      <c r="E132" s="106">
        <v>100000</v>
      </c>
      <c r="F132" s="117">
        <f t="shared" si="6"/>
        <v>715000</v>
      </c>
      <c r="G132" s="106">
        <v>615000</v>
      </c>
      <c r="H132" s="106">
        <v>100000</v>
      </c>
      <c r="I132" s="117">
        <f t="shared" si="7"/>
        <v>715000</v>
      </c>
    </row>
    <row r="133" spans="1:9">
      <c r="A133" s="119">
        <v>49</v>
      </c>
      <c r="B133" s="119">
        <v>9</v>
      </c>
      <c r="C133" s="121" t="s">
        <v>120</v>
      </c>
      <c r="D133" s="106">
        <v>554000</v>
      </c>
      <c r="E133" s="106">
        <v>220000</v>
      </c>
      <c r="F133" s="117">
        <f t="shared" si="6"/>
        <v>774000</v>
      </c>
      <c r="G133" s="106">
        <v>554000</v>
      </c>
      <c r="H133" s="106">
        <v>225000</v>
      </c>
      <c r="I133" s="117">
        <f t="shared" si="7"/>
        <v>779000</v>
      </c>
    </row>
    <row r="134" spans="1:9">
      <c r="A134" s="119">
        <v>50</v>
      </c>
      <c r="B134" s="119">
        <v>10</v>
      </c>
      <c r="C134" s="121" t="s">
        <v>121</v>
      </c>
      <c r="D134" s="106">
        <f>0</f>
        <v>0</v>
      </c>
      <c r="E134" s="106">
        <v>608335</v>
      </c>
      <c r="F134" s="117">
        <f t="shared" si="6"/>
        <v>608335</v>
      </c>
      <c r="G134" s="106">
        <f>0</f>
        <v>0</v>
      </c>
      <c r="H134" s="106">
        <v>578335</v>
      </c>
      <c r="I134" s="117">
        <f t="shared" si="7"/>
        <v>578335</v>
      </c>
    </row>
    <row r="135" spans="1:9">
      <c r="A135" s="119">
        <v>51</v>
      </c>
      <c r="B135" s="119">
        <v>11</v>
      </c>
      <c r="C135" s="121" t="s">
        <v>122</v>
      </c>
      <c r="D135" s="106">
        <v>1450240</v>
      </c>
      <c r="E135" s="106">
        <f>0</f>
        <v>0</v>
      </c>
      <c r="F135" s="117">
        <f t="shared" si="6"/>
        <v>1450240</v>
      </c>
      <c r="G135" s="106">
        <v>1450300</v>
      </c>
      <c r="H135" s="106">
        <f>0</f>
        <v>0</v>
      </c>
      <c r="I135" s="117">
        <f t="shared" si="7"/>
        <v>1450300</v>
      </c>
    </row>
    <row r="136" spans="1:9">
      <c r="A136" s="119">
        <v>52</v>
      </c>
      <c r="B136" s="119">
        <v>12</v>
      </c>
      <c r="C136" s="121" t="s">
        <v>123</v>
      </c>
      <c r="D136" s="106">
        <v>1741000</v>
      </c>
      <c r="E136" s="106">
        <f>0</f>
        <v>0</v>
      </c>
      <c r="F136" s="117">
        <f t="shared" si="6"/>
        <v>1741000</v>
      </c>
      <c r="G136" s="106">
        <v>1741000</v>
      </c>
      <c r="H136" s="106">
        <f>0</f>
        <v>0</v>
      </c>
      <c r="I136" s="117">
        <f t="shared" si="7"/>
        <v>1741000</v>
      </c>
    </row>
    <row r="137" spans="1:9">
      <c r="A137" s="119">
        <v>53</v>
      </c>
      <c r="B137" s="119">
        <v>13</v>
      </c>
      <c r="C137" s="121" t="s">
        <v>124</v>
      </c>
      <c r="D137" s="106">
        <f>0</f>
        <v>0</v>
      </c>
      <c r="E137" s="106">
        <v>169000</v>
      </c>
      <c r="F137" s="117">
        <f t="shared" si="6"/>
        <v>169000</v>
      </c>
      <c r="G137" s="106">
        <f>0</f>
        <v>0</v>
      </c>
      <c r="H137" s="106">
        <f>0</f>
        <v>0</v>
      </c>
      <c r="I137" s="117">
        <f t="shared" si="7"/>
        <v>0</v>
      </c>
    </row>
    <row r="138" spans="1:9">
      <c r="A138" s="119">
        <v>54</v>
      </c>
      <c r="B138" s="119">
        <v>14</v>
      </c>
      <c r="C138" s="121" t="s">
        <v>125</v>
      </c>
      <c r="D138" s="106">
        <v>229000</v>
      </c>
      <c r="E138" s="106">
        <v>150000</v>
      </c>
      <c r="F138" s="117">
        <f>SUM(D138:E138)</f>
        <v>379000</v>
      </c>
      <c r="G138" s="106">
        <v>229000</v>
      </c>
      <c r="H138" s="106">
        <v>155000</v>
      </c>
      <c r="I138" s="117">
        <f>SUM(G138:H138)</f>
        <v>384000</v>
      </c>
    </row>
    <row r="139" spans="1:9">
      <c r="A139" s="119">
        <v>55</v>
      </c>
      <c r="B139" s="119">
        <v>15</v>
      </c>
      <c r="C139" s="121" t="s">
        <v>126</v>
      </c>
      <c r="D139" s="106">
        <f>0</f>
        <v>0</v>
      </c>
      <c r="E139" s="106">
        <f>0</f>
        <v>0</v>
      </c>
      <c r="F139" s="117">
        <f t="shared" ref="F139:F144" si="8">SUM(D139:E139)</f>
        <v>0</v>
      </c>
      <c r="G139" s="106">
        <v>1200000</v>
      </c>
      <c r="H139" s="106">
        <v>270000</v>
      </c>
      <c r="I139" s="117">
        <f t="shared" si="7"/>
        <v>1470000</v>
      </c>
    </row>
    <row r="140" spans="1:9">
      <c r="A140" s="119">
        <v>56</v>
      </c>
      <c r="B140" s="119">
        <v>16</v>
      </c>
      <c r="C140" s="121" t="s">
        <v>127</v>
      </c>
      <c r="D140" s="106">
        <v>1116000</v>
      </c>
      <c r="E140" s="106">
        <f>0</f>
        <v>0</v>
      </c>
      <c r="F140" s="117">
        <f t="shared" si="8"/>
        <v>1116000</v>
      </c>
      <c r="G140" s="106">
        <v>1116000</v>
      </c>
      <c r="H140" s="106">
        <f>0</f>
        <v>0</v>
      </c>
      <c r="I140" s="117">
        <f t="shared" si="7"/>
        <v>1116000</v>
      </c>
    </row>
    <row r="141" spans="1:9">
      <c r="A141" s="119">
        <v>57</v>
      </c>
      <c r="B141" s="119">
        <v>17</v>
      </c>
      <c r="C141" s="121" t="s">
        <v>128</v>
      </c>
      <c r="D141" s="106">
        <f>0</f>
        <v>0</v>
      </c>
      <c r="E141" s="106">
        <v>765000</v>
      </c>
      <c r="F141" s="117">
        <f t="shared" si="8"/>
        <v>765000</v>
      </c>
      <c r="G141" s="106">
        <v>1375000</v>
      </c>
      <c r="H141" s="106">
        <f>0</f>
        <v>0</v>
      </c>
      <c r="I141" s="117">
        <f t="shared" si="7"/>
        <v>1375000</v>
      </c>
    </row>
    <row r="142" spans="1:9">
      <c r="A142" s="119">
        <v>58</v>
      </c>
      <c r="B142" s="119">
        <v>18</v>
      </c>
      <c r="C142" s="121" t="s">
        <v>129</v>
      </c>
      <c r="D142" s="106">
        <v>1247000</v>
      </c>
      <c r="E142" s="106">
        <v>120000</v>
      </c>
      <c r="F142" s="117">
        <f t="shared" si="8"/>
        <v>1367000</v>
      </c>
      <c r="G142" s="106">
        <v>1247000</v>
      </c>
      <c r="H142" s="106">
        <v>120000</v>
      </c>
      <c r="I142" s="117">
        <f t="shared" si="7"/>
        <v>1367000</v>
      </c>
    </row>
    <row r="143" spans="1:9">
      <c r="A143" s="119">
        <v>59</v>
      </c>
      <c r="B143" s="119">
        <v>19</v>
      </c>
      <c r="C143" s="121" t="s">
        <v>130</v>
      </c>
      <c r="D143" s="106">
        <v>260618</v>
      </c>
      <c r="E143" s="106">
        <v>260000</v>
      </c>
      <c r="F143" s="117">
        <f t="shared" si="8"/>
        <v>520618</v>
      </c>
      <c r="G143" s="106">
        <v>260618</v>
      </c>
      <c r="H143" s="106">
        <f>0</f>
        <v>0</v>
      </c>
      <c r="I143" s="117">
        <f t="shared" si="7"/>
        <v>260618</v>
      </c>
    </row>
    <row r="144" spans="1:9">
      <c r="A144" s="119">
        <v>60</v>
      </c>
      <c r="B144" s="119">
        <v>20</v>
      </c>
      <c r="C144" s="121" t="s">
        <v>131</v>
      </c>
      <c r="D144" s="106">
        <v>616413</v>
      </c>
      <c r="E144" s="106">
        <v>312100</v>
      </c>
      <c r="F144" s="117">
        <f t="shared" si="8"/>
        <v>928513</v>
      </c>
      <c r="G144" s="106">
        <v>634248</v>
      </c>
      <c r="H144" s="106">
        <v>305000</v>
      </c>
      <c r="I144" s="117">
        <f t="shared" si="7"/>
        <v>939248</v>
      </c>
    </row>
    <row r="145" spans="1:9">
      <c r="A145" s="108" t="s">
        <v>58</v>
      </c>
      <c r="B145" s="109"/>
      <c r="C145" s="109"/>
      <c r="D145" s="110">
        <f>SUM(D125:D144)</f>
        <v>13969288</v>
      </c>
      <c r="E145" s="110">
        <f>SUM(E125:E144)</f>
        <v>4353935</v>
      </c>
      <c r="F145" s="110">
        <f>SUM(D145:E145)</f>
        <v>18323223</v>
      </c>
      <c r="G145" s="110">
        <f>SUM(G125:G144)</f>
        <v>14929366</v>
      </c>
      <c r="H145" s="110">
        <f>SUM(H125:H144)</f>
        <v>3827835</v>
      </c>
      <c r="I145" s="110">
        <f>SUM(G145:H145)</f>
        <v>18757201</v>
      </c>
    </row>
    <row r="146" spans="1:9">
      <c r="A146" s="126" t="s">
        <v>132</v>
      </c>
      <c r="B146" s="127"/>
      <c r="C146" s="127"/>
      <c r="D146" s="127"/>
      <c r="E146" s="127"/>
      <c r="F146" s="127"/>
      <c r="G146" s="127"/>
      <c r="H146" s="127"/>
      <c r="I146" s="128"/>
    </row>
    <row r="147" spans="1:9">
      <c r="A147" s="119">
        <v>61</v>
      </c>
      <c r="B147" s="119">
        <v>1</v>
      </c>
      <c r="C147" s="125" t="s">
        <v>133</v>
      </c>
      <c r="D147" s="106">
        <v>1599760</v>
      </c>
      <c r="E147" s="106">
        <v>920800</v>
      </c>
      <c r="F147" s="117">
        <f>SUM(D147:E147)</f>
        <v>2520560</v>
      </c>
      <c r="G147" s="106">
        <v>1599760</v>
      </c>
      <c r="H147" s="106">
        <v>928800</v>
      </c>
      <c r="I147" s="117">
        <f>SUM(G147:H147)</f>
        <v>2528560</v>
      </c>
    </row>
    <row r="148" spans="1:9">
      <c r="A148" s="119">
        <v>62</v>
      </c>
      <c r="B148" s="119">
        <v>2</v>
      </c>
      <c r="C148" s="125" t="s">
        <v>134</v>
      </c>
      <c r="D148" s="106">
        <v>261500</v>
      </c>
      <c r="E148" s="106">
        <v>289000</v>
      </c>
      <c r="F148" s="117">
        <f t="shared" ref="F148:F166" si="9">SUM(D148:E148)</f>
        <v>550500</v>
      </c>
      <c r="G148" s="106">
        <v>161500</v>
      </c>
      <c r="H148" s="106">
        <v>289000</v>
      </c>
      <c r="I148" s="117">
        <f t="shared" ref="I148:I166" si="10">SUM(G148:H148)</f>
        <v>450500</v>
      </c>
    </row>
    <row r="149" spans="1:9">
      <c r="A149" s="119">
        <v>63</v>
      </c>
      <c r="B149" s="119">
        <v>3</v>
      </c>
      <c r="C149" s="125" t="s">
        <v>135</v>
      </c>
      <c r="D149" s="106">
        <f>0</f>
        <v>0</v>
      </c>
      <c r="E149" s="106">
        <f>0</f>
        <v>0</v>
      </c>
      <c r="F149" s="117">
        <f t="shared" si="9"/>
        <v>0</v>
      </c>
      <c r="G149" s="106">
        <v>1425700</v>
      </c>
      <c r="H149" s="106">
        <v>1247500</v>
      </c>
      <c r="I149" s="117">
        <f t="shared" si="10"/>
        <v>2673200</v>
      </c>
    </row>
    <row r="150" spans="1:9">
      <c r="A150" s="119">
        <v>64</v>
      </c>
      <c r="B150" s="119">
        <v>4</v>
      </c>
      <c r="C150" s="125" t="s">
        <v>136</v>
      </c>
      <c r="D150" s="106">
        <v>300000</v>
      </c>
      <c r="E150" s="106">
        <f>0</f>
        <v>0</v>
      </c>
      <c r="F150" s="117">
        <f t="shared" si="9"/>
        <v>300000</v>
      </c>
      <c r="G150" s="106">
        <f>0</f>
        <v>0</v>
      </c>
      <c r="H150" s="106">
        <f>0</f>
        <v>0</v>
      </c>
      <c r="I150" s="117">
        <f t="shared" si="10"/>
        <v>0</v>
      </c>
    </row>
    <row r="151" spans="1:9">
      <c r="A151" s="119">
        <v>65</v>
      </c>
      <c r="B151" s="119">
        <v>5</v>
      </c>
      <c r="C151" s="129" t="s">
        <v>137</v>
      </c>
      <c r="D151" s="106">
        <f>0</f>
        <v>0</v>
      </c>
      <c r="E151" s="106">
        <f>0</f>
        <v>0</v>
      </c>
      <c r="F151" s="117">
        <f t="shared" si="9"/>
        <v>0</v>
      </c>
      <c r="G151" s="106">
        <v>1062000</v>
      </c>
      <c r="H151" s="106">
        <v>300000</v>
      </c>
      <c r="I151" s="117">
        <f t="shared" si="10"/>
        <v>1362000</v>
      </c>
    </row>
    <row r="152" spans="1:9">
      <c r="A152" s="119">
        <v>66</v>
      </c>
      <c r="B152" s="119">
        <v>6</v>
      </c>
      <c r="C152" s="125" t="s">
        <v>138</v>
      </c>
      <c r="D152" s="106">
        <v>794000</v>
      </c>
      <c r="E152" s="106">
        <v>1446000</v>
      </c>
      <c r="F152" s="117">
        <f t="shared" si="9"/>
        <v>2240000</v>
      </c>
      <c r="G152" s="106">
        <v>794000</v>
      </c>
      <c r="H152" s="106">
        <v>1426000</v>
      </c>
      <c r="I152" s="117">
        <f t="shared" si="10"/>
        <v>2220000</v>
      </c>
    </row>
    <row r="153" spans="1:9">
      <c r="A153" s="119">
        <v>67</v>
      </c>
      <c r="B153" s="119">
        <v>7</v>
      </c>
      <c r="C153" s="125" t="s">
        <v>139</v>
      </c>
      <c r="D153" s="106">
        <v>418000</v>
      </c>
      <c r="E153" s="106">
        <v>400000</v>
      </c>
      <c r="F153" s="117">
        <f t="shared" si="9"/>
        <v>818000</v>
      </c>
      <c r="G153" s="106">
        <v>412000</v>
      </c>
      <c r="H153" s="106">
        <v>501000</v>
      </c>
      <c r="I153" s="117">
        <f t="shared" si="10"/>
        <v>913000</v>
      </c>
    </row>
    <row r="154" spans="1:9">
      <c r="A154" s="119">
        <v>68</v>
      </c>
      <c r="B154" s="119">
        <v>8</v>
      </c>
      <c r="C154" s="125" t="s">
        <v>140</v>
      </c>
      <c r="D154" s="106">
        <v>561675</v>
      </c>
      <c r="E154" s="106">
        <v>1085000</v>
      </c>
      <c r="F154" s="117">
        <f t="shared" si="9"/>
        <v>1646675</v>
      </c>
      <c r="G154" s="106">
        <v>561675</v>
      </c>
      <c r="H154" s="106">
        <v>1085000</v>
      </c>
      <c r="I154" s="117">
        <f t="shared" si="10"/>
        <v>1646675</v>
      </c>
    </row>
    <row r="155" spans="1:9">
      <c r="A155" s="119">
        <v>69</v>
      </c>
      <c r="B155" s="119">
        <v>9</v>
      </c>
      <c r="C155" s="125" t="s">
        <v>141</v>
      </c>
      <c r="D155" s="106">
        <v>349000</v>
      </c>
      <c r="E155" s="106">
        <v>525000</v>
      </c>
      <c r="F155" s="117">
        <f t="shared" si="9"/>
        <v>874000</v>
      </c>
      <c r="G155" s="106">
        <v>346000</v>
      </c>
      <c r="H155" s="106">
        <v>520000</v>
      </c>
      <c r="I155" s="117">
        <f t="shared" si="10"/>
        <v>866000</v>
      </c>
    </row>
    <row r="156" spans="1:9">
      <c r="A156" s="119">
        <v>70</v>
      </c>
      <c r="B156" s="119">
        <v>10</v>
      </c>
      <c r="C156" s="125" t="s">
        <v>142</v>
      </c>
      <c r="D156" s="106">
        <v>357100</v>
      </c>
      <c r="E156" s="106">
        <v>107000</v>
      </c>
      <c r="F156" s="117">
        <f t="shared" si="9"/>
        <v>464100</v>
      </c>
      <c r="G156" s="106">
        <v>357100</v>
      </c>
      <c r="H156" s="106">
        <v>107000</v>
      </c>
      <c r="I156" s="117">
        <f t="shared" si="10"/>
        <v>464100</v>
      </c>
    </row>
    <row r="157" spans="1:9">
      <c r="A157" s="119">
        <v>71</v>
      </c>
      <c r="B157" s="119">
        <v>11</v>
      </c>
      <c r="C157" s="125" t="s">
        <v>143</v>
      </c>
      <c r="D157" s="106">
        <f>0</f>
        <v>0</v>
      </c>
      <c r="E157" s="106">
        <f>0</f>
        <v>0</v>
      </c>
      <c r="F157" s="117">
        <f t="shared" si="9"/>
        <v>0</v>
      </c>
      <c r="G157" s="106">
        <f>0</f>
        <v>0</v>
      </c>
      <c r="H157" s="106">
        <f>0</f>
        <v>0</v>
      </c>
      <c r="I157" s="117">
        <f t="shared" si="10"/>
        <v>0</v>
      </c>
    </row>
    <row r="158" spans="1:9">
      <c r="A158" s="119">
        <v>72</v>
      </c>
      <c r="B158" s="119">
        <v>12</v>
      </c>
      <c r="C158" s="125" t="s">
        <v>144</v>
      </c>
      <c r="D158" s="106">
        <v>255000</v>
      </c>
      <c r="E158" s="106">
        <v>829000</v>
      </c>
      <c r="F158" s="117">
        <f t="shared" si="9"/>
        <v>1084000</v>
      </c>
      <c r="G158" s="106">
        <f>0</f>
        <v>0</v>
      </c>
      <c r="H158" s="106">
        <f>0</f>
        <v>0</v>
      </c>
      <c r="I158" s="117">
        <f t="shared" si="10"/>
        <v>0</v>
      </c>
    </row>
    <row r="159" spans="1:9">
      <c r="A159" s="119">
        <v>73</v>
      </c>
      <c r="B159" s="119">
        <v>13</v>
      </c>
      <c r="C159" s="125" t="s">
        <v>145</v>
      </c>
      <c r="D159" s="106">
        <f>0</f>
        <v>0</v>
      </c>
      <c r="E159" s="106">
        <v>500000</v>
      </c>
      <c r="F159" s="117">
        <f t="shared" si="9"/>
        <v>500000</v>
      </c>
      <c r="G159" s="106">
        <f>0</f>
        <v>0</v>
      </c>
      <c r="H159" s="106">
        <v>500000</v>
      </c>
      <c r="I159" s="117">
        <f t="shared" si="10"/>
        <v>500000</v>
      </c>
    </row>
    <row r="160" spans="1:9">
      <c r="A160" s="119">
        <v>74</v>
      </c>
      <c r="B160" s="119">
        <v>14</v>
      </c>
      <c r="C160" s="129" t="s">
        <v>146</v>
      </c>
      <c r="D160" s="106">
        <f>0</f>
        <v>0</v>
      </c>
      <c r="E160" s="106">
        <f>0</f>
        <v>0</v>
      </c>
      <c r="F160" s="117">
        <f t="shared" si="9"/>
        <v>0</v>
      </c>
      <c r="G160" s="106">
        <f>0</f>
        <v>0</v>
      </c>
      <c r="H160" s="106">
        <f>1090000+1090000+1090000</f>
        <v>3270000</v>
      </c>
      <c r="I160" s="117">
        <f t="shared" si="10"/>
        <v>3270000</v>
      </c>
    </row>
    <row r="161" spans="1:9">
      <c r="A161" s="119">
        <v>75</v>
      </c>
      <c r="B161" s="119">
        <v>15</v>
      </c>
      <c r="C161" s="125" t="s">
        <v>147</v>
      </c>
      <c r="D161" s="106">
        <f>0</f>
        <v>0</v>
      </c>
      <c r="E161" s="106">
        <v>1091000</v>
      </c>
      <c r="F161" s="117">
        <f t="shared" si="9"/>
        <v>1091000</v>
      </c>
      <c r="G161" s="106">
        <f>0</f>
        <v>0</v>
      </c>
      <c r="H161" s="106">
        <v>1070000</v>
      </c>
      <c r="I161" s="117">
        <f t="shared" si="10"/>
        <v>1070000</v>
      </c>
    </row>
    <row r="162" spans="1:9">
      <c r="A162" s="119">
        <v>76</v>
      </c>
      <c r="B162" s="119">
        <v>16</v>
      </c>
      <c r="C162" s="125" t="s">
        <v>148</v>
      </c>
      <c r="D162" s="106">
        <f>0</f>
        <v>0</v>
      </c>
      <c r="E162" s="106">
        <v>2289000</v>
      </c>
      <c r="F162" s="117">
        <f t="shared" si="9"/>
        <v>2289000</v>
      </c>
      <c r="G162" s="106">
        <f>0</f>
        <v>0</v>
      </c>
      <c r="H162" s="106">
        <v>2289000</v>
      </c>
      <c r="I162" s="117">
        <f t="shared" si="10"/>
        <v>2289000</v>
      </c>
    </row>
    <row r="163" spans="1:9">
      <c r="A163" s="119">
        <v>77</v>
      </c>
      <c r="B163" s="119">
        <v>17</v>
      </c>
      <c r="C163" s="125" t="s">
        <v>149</v>
      </c>
      <c r="D163" s="106">
        <f>0</f>
        <v>0</v>
      </c>
      <c r="E163" s="106">
        <v>763000</v>
      </c>
      <c r="F163" s="117">
        <f t="shared" si="9"/>
        <v>763000</v>
      </c>
      <c r="G163" s="106">
        <f>0</f>
        <v>0</v>
      </c>
      <c r="H163" s="106">
        <v>763000</v>
      </c>
      <c r="I163" s="117">
        <f t="shared" si="10"/>
        <v>763000</v>
      </c>
    </row>
    <row r="164" spans="1:9">
      <c r="A164" s="119">
        <v>78</v>
      </c>
      <c r="B164" s="119">
        <v>18</v>
      </c>
      <c r="C164" s="121" t="s">
        <v>150</v>
      </c>
      <c r="D164" s="106">
        <v>229042</v>
      </c>
      <c r="E164" s="106">
        <v>2773980</v>
      </c>
      <c r="F164" s="117">
        <f t="shared" si="9"/>
        <v>3003022</v>
      </c>
      <c r="G164" s="106">
        <f>0</f>
        <v>0</v>
      </c>
      <c r="H164" s="106">
        <f>0</f>
        <v>0</v>
      </c>
      <c r="I164" s="117">
        <f t="shared" si="10"/>
        <v>0</v>
      </c>
    </row>
    <row r="165" spans="1:9">
      <c r="A165" s="119">
        <v>79</v>
      </c>
      <c r="B165" s="119">
        <v>19</v>
      </c>
      <c r="C165" s="121" t="s">
        <v>151</v>
      </c>
      <c r="D165" s="106">
        <v>273000</v>
      </c>
      <c r="E165" s="106">
        <v>727500</v>
      </c>
      <c r="F165" s="117">
        <f t="shared" si="9"/>
        <v>1000500</v>
      </c>
      <c r="G165" s="106">
        <f>0</f>
        <v>0</v>
      </c>
      <c r="H165" s="106">
        <f>0</f>
        <v>0</v>
      </c>
      <c r="I165" s="117">
        <f t="shared" si="10"/>
        <v>0</v>
      </c>
    </row>
    <row r="166" spans="1:9">
      <c r="A166" s="119">
        <v>80</v>
      </c>
      <c r="B166" s="119">
        <v>20</v>
      </c>
      <c r="C166" s="121" t="s">
        <v>152</v>
      </c>
      <c r="D166" s="106">
        <v>309000</v>
      </c>
      <c r="E166" s="106">
        <v>698000</v>
      </c>
      <c r="F166" s="117">
        <f t="shared" si="9"/>
        <v>1007000</v>
      </c>
      <c r="G166" s="106">
        <v>309000</v>
      </c>
      <c r="H166" s="106">
        <v>702000</v>
      </c>
      <c r="I166" s="117">
        <f t="shared" si="10"/>
        <v>1011000</v>
      </c>
    </row>
    <row r="167" spans="1:9">
      <c r="A167" s="108" t="s">
        <v>58</v>
      </c>
      <c r="B167" s="109"/>
      <c r="C167" s="109"/>
      <c r="D167" s="110">
        <f>SUM(D147:D166)</f>
        <v>5707077</v>
      </c>
      <c r="E167" s="110">
        <f>SUM(E147:E166)</f>
        <v>14444280</v>
      </c>
      <c r="F167" s="110">
        <f>SUM(D167:E167)</f>
        <v>20151357</v>
      </c>
      <c r="G167" s="110">
        <f>SUM(G147:G166)</f>
        <v>7028735</v>
      </c>
      <c r="H167" s="110">
        <f>SUM(H147:H166)</f>
        <v>14998300</v>
      </c>
      <c r="I167" s="110">
        <f>SUM(G167:H167)</f>
        <v>22027035</v>
      </c>
    </row>
    <row r="168" spans="1:9">
      <c r="A168" s="108" t="s">
        <v>153</v>
      </c>
      <c r="B168" s="109"/>
      <c r="C168" s="109"/>
      <c r="D168" s="109"/>
      <c r="E168" s="109"/>
      <c r="F168" s="109"/>
      <c r="G168" s="109"/>
      <c r="H168" s="109"/>
      <c r="I168" s="113"/>
    </row>
    <row r="169" spans="1:9">
      <c r="A169" s="119">
        <v>81</v>
      </c>
      <c r="B169" s="119">
        <v>1</v>
      </c>
      <c r="C169" s="121" t="s">
        <v>154</v>
      </c>
      <c r="D169" s="106">
        <v>1328960</v>
      </c>
      <c r="E169" s="106">
        <v>108500</v>
      </c>
      <c r="F169" s="117">
        <f>SUM(D169:E169)</f>
        <v>1437460</v>
      </c>
      <c r="G169" s="106">
        <v>1392225</v>
      </c>
      <c r="H169" s="106">
        <v>107500</v>
      </c>
      <c r="I169" s="117">
        <f>SUM(G169:H169)</f>
        <v>1499725</v>
      </c>
    </row>
    <row r="170" spans="1:9">
      <c r="A170" s="119">
        <v>82</v>
      </c>
      <c r="B170" s="119">
        <v>2</v>
      </c>
      <c r="C170" s="121" t="s">
        <v>155</v>
      </c>
      <c r="D170" s="106">
        <f>0</f>
        <v>0</v>
      </c>
      <c r="E170" s="106">
        <v>30000</v>
      </c>
      <c r="F170" s="117">
        <f t="shared" ref="F170:F188" si="11">SUM(D170:E170)</f>
        <v>30000</v>
      </c>
      <c r="G170" s="106">
        <f>0</f>
        <v>0</v>
      </c>
      <c r="H170" s="106">
        <v>30000</v>
      </c>
      <c r="I170" s="117">
        <f t="shared" ref="I170:I191" si="12">SUM(G170:H170)</f>
        <v>30000</v>
      </c>
    </row>
    <row r="171" spans="1:9">
      <c r="A171" s="119">
        <v>83</v>
      </c>
      <c r="B171" s="119">
        <v>3</v>
      </c>
      <c r="C171" s="121" t="s">
        <v>156</v>
      </c>
      <c r="D171" s="106">
        <f>0</f>
        <v>0</v>
      </c>
      <c r="E171" s="106">
        <f>260000+45000</f>
        <v>305000</v>
      </c>
      <c r="F171" s="117">
        <f t="shared" si="11"/>
        <v>305000</v>
      </c>
      <c r="G171" s="106">
        <f>0</f>
        <v>0</v>
      </c>
      <c r="H171" s="106">
        <f>250000+45000</f>
        <v>295000</v>
      </c>
      <c r="I171" s="117">
        <f t="shared" si="12"/>
        <v>295000</v>
      </c>
    </row>
    <row r="172" spans="1:9">
      <c r="A172" s="119">
        <v>84</v>
      </c>
      <c r="B172" s="119">
        <v>4</v>
      </c>
      <c r="C172" s="121" t="s">
        <v>157</v>
      </c>
      <c r="D172" s="106">
        <f>0</f>
        <v>0</v>
      </c>
      <c r="E172" s="106">
        <f>0</f>
        <v>0</v>
      </c>
      <c r="F172" s="117">
        <f t="shared" si="11"/>
        <v>0</v>
      </c>
      <c r="G172" s="106">
        <f>560000+150000</f>
        <v>710000</v>
      </c>
      <c r="H172" s="106">
        <f>147000+121000</f>
        <v>268000</v>
      </c>
      <c r="I172" s="117">
        <f t="shared" si="12"/>
        <v>978000</v>
      </c>
    </row>
    <row r="173" spans="1:9">
      <c r="A173" s="119">
        <v>85</v>
      </c>
      <c r="B173" s="119">
        <v>5</v>
      </c>
      <c r="C173" s="121" t="s">
        <v>158</v>
      </c>
      <c r="D173" s="106">
        <f>0</f>
        <v>0</v>
      </c>
      <c r="E173" s="106">
        <f>0</f>
        <v>0</v>
      </c>
      <c r="F173" s="117">
        <f t="shared" si="11"/>
        <v>0</v>
      </c>
      <c r="G173" s="106">
        <f>0</f>
        <v>0</v>
      </c>
      <c r="H173" s="106">
        <f>0</f>
        <v>0</v>
      </c>
      <c r="I173" s="117">
        <f t="shared" si="12"/>
        <v>0</v>
      </c>
    </row>
    <row r="174" spans="1:9">
      <c r="A174" s="119">
        <v>86</v>
      </c>
      <c r="B174" s="119">
        <v>6</v>
      </c>
      <c r="C174" s="125" t="s">
        <v>159</v>
      </c>
      <c r="D174" s="106">
        <v>20000000</v>
      </c>
      <c r="E174" s="106">
        <f>0</f>
        <v>0</v>
      </c>
      <c r="F174" s="117">
        <f t="shared" si="11"/>
        <v>20000000</v>
      </c>
      <c r="G174" s="106">
        <v>20000000</v>
      </c>
      <c r="H174" s="106">
        <f>0</f>
        <v>0</v>
      </c>
      <c r="I174" s="117">
        <f t="shared" si="12"/>
        <v>20000000</v>
      </c>
    </row>
    <row r="175" spans="1:9">
      <c r="A175" s="119">
        <v>87</v>
      </c>
      <c r="B175" s="119">
        <v>7</v>
      </c>
      <c r="C175" s="121" t="s">
        <v>160</v>
      </c>
      <c r="D175" s="106">
        <f>0</f>
        <v>0</v>
      </c>
      <c r="E175" s="106">
        <f>0</f>
        <v>0</v>
      </c>
      <c r="F175" s="117">
        <f t="shared" si="11"/>
        <v>0</v>
      </c>
      <c r="G175" s="106">
        <f>0</f>
        <v>0</v>
      </c>
      <c r="H175" s="106">
        <f>0</f>
        <v>0</v>
      </c>
      <c r="I175" s="117">
        <f t="shared" si="12"/>
        <v>0</v>
      </c>
    </row>
    <row r="176" spans="1:9">
      <c r="A176" s="119">
        <v>88</v>
      </c>
      <c r="B176" s="119">
        <v>8</v>
      </c>
      <c r="C176" s="121" t="s">
        <v>161</v>
      </c>
      <c r="D176" s="106">
        <f>0</f>
        <v>0</v>
      </c>
      <c r="E176" s="106">
        <f>0</f>
        <v>0</v>
      </c>
      <c r="F176" s="117">
        <f t="shared" si="11"/>
        <v>0</v>
      </c>
      <c r="G176" s="106">
        <f>0</f>
        <v>0</v>
      </c>
      <c r="H176" s="106">
        <f>0</f>
        <v>0</v>
      </c>
      <c r="I176" s="117">
        <f t="shared" si="12"/>
        <v>0</v>
      </c>
    </row>
    <row r="177" spans="1:9">
      <c r="A177" s="119">
        <v>89</v>
      </c>
      <c r="B177" s="119">
        <v>9</v>
      </c>
      <c r="C177" s="121" t="s">
        <v>162</v>
      </c>
      <c r="D177" s="106">
        <f>0</f>
        <v>0</v>
      </c>
      <c r="E177" s="106">
        <f>0</f>
        <v>0</v>
      </c>
      <c r="F177" s="117">
        <f t="shared" si="11"/>
        <v>0</v>
      </c>
      <c r="G177" s="106">
        <f>0</f>
        <v>0</v>
      </c>
      <c r="H177" s="106">
        <f>0</f>
        <v>0</v>
      </c>
      <c r="I177" s="117">
        <f t="shared" si="12"/>
        <v>0</v>
      </c>
    </row>
    <row r="178" spans="1:9">
      <c r="A178" s="119">
        <v>90</v>
      </c>
      <c r="B178" s="119">
        <v>10</v>
      </c>
      <c r="C178" s="121" t="s">
        <v>163</v>
      </c>
      <c r="D178" s="106">
        <f>0</f>
        <v>0</v>
      </c>
      <c r="E178" s="106">
        <f>0</f>
        <v>0</v>
      </c>
      <c r="F178" s="117">
        <f t="shared" si="11"/>
        <v>0</v>
      </c>
      <c r="G178" s="106">
        <f>0</f>
        <v>0</v>
      </c>
      <c r="H178" s="106">
        <f>0</f>
        <v>0</v>
      </c>
      <c r="I178" s="117">
        <f t="shared" si="12"/>
        <v>0</v>
      </c>
    </row>
    <row r="179" spans="1:9">
      <c r="A179" s="119">
        <v>91</v>
      </c>
      <c r="B179" s="119">
        <v>11</v>
      </c>
      <c r="C179" s="121" t="s">
        <v>164</v>
      </c>
      <c r="D179" s="106">
        <f>10150416+10147373</f>
        <v>20297789</v>
      </c>
      <c r="E179" s="106">
        <f>0</f>
        <v>0</v>
      </c>
      <c r="F179" s="117">
        <f t="shared" si="11"/>
        <v>20297789</v>
      </c>
      <c r="G179" s="106">
        <v>9163761</v>
      </c>
      <c r="H179" s="106">
        <f>0</f>
        <v>0</v>
      </c>
      <c r="I179" s="117">
        <f t="shared" si="12"/>
        <v>9163761</v>
      </c>
    </row>
    <row r="180" spans="1:9">
      <c r="A180" s="119">
        <v>92</v>
      </c>
      <c r="B180" s="119">
        <v>12</v>
      </c>
      <c r="C180" s="121" t="s">
        <v>165</v>
      </c>
      <c r="D180" s="106">
        <f>0</f>
        <v>0</v>
      </c>
      <c r="E180" s="106">
        <f>0</f>
        <v>0</v>
      </c>
      <c r="F180" s="117">
        <f t="shared" si="11"/>
        <v>0</v>
      </c>
      <c r="G180" s="106">
        <f>0</f>
        <v>0</v>
      </c>
      <c r="H180" s="106">
        <f>0</f>
        <v>0</v>
      </c>
      <c r="I180" s="117">
        <f t="shared" si="12"/>
        <v>0</v>
      </c>
    </row>
    <row r="181" spans="1:9">
      <c r="A181" s="119">
        <v>93</v>
      </c>
      <c r="B181" s="119">
        <v>13</v>
      </c>
      <c r="C181" s="121" t="s">
        <v>166</v>
      </c>
      <c r="D181" s="106">
        <f>0</f>
        <v>0</v>
      </c>
      <c r="E181" s="106">
        <f>0</f>
        <v>0</v>
      </c>
      <c r="F181" s="117">
        <f t="shared" si="11"/>
        <v>0</v>
      </c>
      <c r="G181" s="106">
        <f>0</f>
        <v>0</v>
      </c>
      <c r="H181" s="106">
        <f>86000+86000</f>
        <v>172000</v>
      </c>
      <c r="I181" s="117">
        <f t="shared" si="12"/>
        <v>172000</v>
      </c>
    </row>
    <row r="182" spans="1:9">
      <c r="A182" s="119">
        <v>94</v>
      </c>
      <c r="B182" s="119">
        <v>14</v>
      </c>
      <c r="C182" s="121" t="s">
        <v>167</v>
      </c>
      <c r="D182" s="106">
        <v>1753750</v>
      </c>
      <c r="E182" s="106">
        <v>71500</v>
      </c>
      <c r="F182" s="117">
        <f t="shared" si="11"/>
        <v>1825250</v>
      </c>
      <c r="G182" s="106">
        <v>1753750</v>
      </c>
      <c r="H182" s="106">
        <v>71500</v>
      </c>
      <c r="I182" s="117">
        <f t="shared" si="12"/>
        <v>1825250</v>
      </c>
    </row>
    <row r="183" spans="1:9">
      <c r="A183" s="119">
        <v>95</v>
      </c>
      <c r="B183" s="119">
        <v>15</v>
      </c>
      <c r="C183" s="121" t="s">
        <v>168</v>
      </c>
      <c r="D183" s="106">
        <v>458000</v>
      </c>
      <c r="E183" s="106">
        <v>400000</v>
      </c>
      <c r="F183" s="117">
        <f t="shared" si="11"/>
        <v>858000</v>
      </c>
      <c r="G183" s="106">
        <v>460000</v>
      </c>
      <c r="H183" s="106">
        <v>410000</v>
      </c>
      <c r="I183" s="117">
        <f t="shared" si="12"/>
        <v>870000</v>
      </c>
    </row>
    <row r="184" spans="1:9">
      <c r="A184" s="119">
        <v>96</v>
      </c>
      <c r="B184" s="119">
        <v>16</v>
      </c>
      <c r="C184" s="121" t="s">
        <v>169</v>
      </c>
      <c r="D184" s="106">
        <v>997100</v>
      </c>
      <c r="E184" s="106">
        <f>340000+403000</f>
        <v>743000</v>
      </c>
      <c r="F184" s="117">
        <f t="shared" si="11"/>
        <v>1740100</v>
      </c>
      <c r="G184" s="106">
        <v>997100</v>
      </c>
      <c r="H184" s="106">
        <f>340000+403000</f>
        <v>743000</v>
      </c>
      <c r="I184" s="117">
        <f t="shared" si="12"/>
        <v>1740100</v>
      </c>
    </row>
    <row r="185" spans="1:9">
      <c r="A185" s="119">
        <v>97</v>
      </c>
      <c r="B185" s="119">
        <v>17</v>
      </c>
      <c r="C185" s="121" t="s">
        <v>170</v>
      </c>
      <c r="D185" s="106">
        <f>0</f>
        <v>0</v>
      </c>
      <c r="E185" s="106">
        <f>0</f>
        <v>0</v>
      </c>
      <c r="F185" s="117">
        <f t="shared" si="11"/>
        <v>0</v>
      </c>
      <c r="G185" s="106">
        <f>0</f>
        <v>0</v>
      </c>
      <c r="H185" s="106">
        <f>0</f>
        <v>0</v>
      </c>
      <c r="I185" s="117">
        <f t="shared" si="12"/>
        <v>0</v>
      </c>
    </row>
    <row r="186" spans="1:9">
      <c r="A186" s="119">
        <v>98</v>
      </c>
      <c r="B186" s="119">
        <v>18</v>
      </c>
      <c r="C186" s="121" t="s">
        <v>171</v>
      </c>
      <c r="D186" s="106">
        <f>0</f>
        <v>0</v>
      </c>
      <c r="E186" s="106">
        <f>0</f>
        <v>0</v>
      </c>
      <c r="F186" s="117">
        <f t="shared" si="11"/>
        <v>0</v>
      </c>
      <c r="G186" s="106">
        <f>0</f>
        <v>0</v>
      </c>
      <c r="H186" s="106">
        <f>0</f>
        <v>0</v>
      </c>
      <c r="I186" s="117">
        <f t="shared" si="12"/>
        <v>0</v>
      </c>
    </row>
    <row r="187" spans="1:9">
      <c r="A187" s="119">
        <v>99</v>
      </c>
      <c r="B187" s="119">
        <v>19</v>
      </c>
      <c r="C187" s="121" t="s">
        <v>172</v>
      </c>
      <c r="D187" s="106">
        <f>0</f>
        <v>0</v>
      </c>
      <c r="E187" s="106">
        <f>0</f>
        <v>0</v>
      </c>
      <c r="F187" s="117">
        <f t="shared" si="11"/>
        <v>0</v>
      </c>
      <c r="G187" s="106">
        <f>0</f>
        <v>0</v>
      </c>
      <c r="H187" s="106">
        <f>0</f>
        <v>0</v>
      </c>
      <c r="I187" s="117">
        <f t="shared" si="12"/>
        <v>0</v>
      </c>
    </row>
    <row r="188" spans="1:9">
      <c r="A188" s="119">
        <v>100</v>
      </c>
      <c r="B188" s="119">
        <v>20</v>
      </c>
      <c r="C188" s="121" t="s">
        <v>173</v>
      </c>
      <c r="D188" s="106">
        <f>0</f>
        <v>0</v>
      </c>
      <c r="E188" s="106">
        <f>0</f>
        <v>0</v>
      </c>
      <c r="F188" s="117">
        <f t="shared" si="11"/>
        <v>0</v>
      </c>
      <c r="G188" s="106">
        <f>0</f>
        <v>0</v>
      </c>
      <c r="H188" s="106">
        <f>0</f>
        <v>0</v>
      </c>
      <c r="I188" s="117">
        <f t="shared" si="12"/>
        <v>0</v>
      </c>
    </row>
    <row r="189" spans="1:9">
      <c r="A189" s="119">
        <v>101</v>
      </c>
      <c r="B189" s="119">
        <v>21</v>
      </c>
      <c r="C189" s="121" t="s">
        <v>174</v>
      </c>
      <c r="D189" s="106">
        <f>0</f>
        <v>0</v>
      </c>
      <c r="E189" s="106">
        <f>0</f>
        <v>0</v>
      </c>
      <c r="F189" s="117">
        <f>SUM(D189:E189)</f>
        <v>0</v>
      </c>
      <c r="G189" s="106">
        <f>0</f>
        <v>0</v>
      </c>
      <c r="H189" s="106">
        <f>0</f>
        <v>0</v>
      </c>
      <c r="I189" s="117">
        <f>SUM(G189:H189)</f>
        <v>0</v>
      </c>
    </row>
    <row r="190" spans="1:9">
      <c r="A190" s="119">
        <v>102</v>
      </c>
      <c r="B190" s="119">
        <v>22</v>
      </c>
      <c r="C190" s="121" t="s">
        <v>175</v>
      </c>
      <c r="D190" s="106">
        <f>0</f>
        <v>0</v>
      </c>
      <c r="E190" s="106">
        <f>0</f>
        <v>0</v>
      </c>
      <c r="F190" s="117">
        <f>SUM(D190:E190)</f>
        <v>0</v>
      </c>
      <c r="G190" s="106">
        <f>0</f>
        <v>0</v>
      </c>
      <c r="H190" s="106">
        <f>0</f>
        <v>0</v>
      </c>
      <c r="I190" s="117">
        <f t="shared" si="12"/>
        <v>0</v>
      </c>
    </row>
    <row r="191" spans="1:9">
      <c r="A191" s="119">
        <v>103</v>
      </c>
      <c r="B191" s="119">
        <v>23</v>
      </c>
      <c r="C191" s="121" t="s">
        <v>176</v>
      </c>
      <c r="D191" s="106">
        <f>0</f>
        <v>0</v>
      </c>
      <c r="E191" s="106">
        <f>0</f>
        <v>0</v>
      </c>
      <c r="F191" s="117">
        <f>SUM(D191:E191)</f>
        <v>0</v>
      </c>
      <c r="G191" s="106">
        <f>0</f>
        <v>0</v>
      </c>
      <c r="H191" s="106">
        <f>0</f>
        <v>0</v>
      </c>
      <c r="I191" s="117">
        <f t="shared" si="12"/>
        <v>0</v>
      </c>
    </row>
    <row r="192" spans="1:9">
      <c r="A192" s="108" t="s">
        <v>58</v>
      </c>
      <c r="B192" s="109"/>
      <c r="C192" s="109"/>
      <c r="D192" s="110">
        <f>SUM(D169:D191)</f>
        <v>44835599</v>
      </c>
      <c r="E192" s="110">
        <f>SUM(E169:E191)</f>
        <v>1658000</v>
      </c>
      <c r="F192" s="110">
        <f>SUM(D192:E192)</f>
        <v>46493599</v>
      </c>
      <c r="G192" s="110">
        <f>SUM(G169:G191)</f>
        <v>34476836</v>
      </c>
      <c r="H192" s="110">
        <f>SUM(H169:H191)</f>
        <v>2097000</v>
      </c>
      <c r="I192" s="110">
        <f>SUM(G192:H192)</f>
        <v>36573836</v>
      </c>
    </row>
    <row r="193" spans="1:9">
      <c r="A193" s="108" t="s">
        <v>177</v>
      </c>
      <c r="B193" s="109"/>
      <c r="C193" s="109"/>
      <c r="D193" s="109"/>
      <c r="E193" s="109"/>
      <c r="F193" s="109"/>
      <c r="G193" s="109"/>
      <c r="H193" s="109"/>
      <c r="I193" s="113"/>
    </row>
    <row r="194" spans="1:9">
      <c r="A194" s="119">
        <v>104</v>
      </c>
      <c r="B194" s="119">
        <v>1</v>
      </c>
      <c r="C194" s="105" t="s">
        <v>178</v>
      </c>
      <c r="D194" s="106">
        <f>0</f>
        <v>0</v>
      </c>
      <c r="E194" s="106">
        <f>0</f>
        <v>0</v>
      </c>
      <c r="F194" s="117">
        <f>SUM(D194:E194)</f>
        <v>0</v>
      </c>
      <c r="G194" s="106">
        <f>0</f>
        <v>0</v>
      </c>
      <c r="H194" s="106">
        <f>0</f>
        <v>0</v>
      </c>
      <c r="I194" s="117">
        <f>SUM(G194:H194)</f>
        <v>0</v>
      </c>
    </row>
    <row r="195" spans="1:9">
      <c r="A195" s="119">
        <v>105</v>
      </c>
      <c r="B195" s="119">
        <v>2</v>
      </c>
      <c r="C195" s="120" t="s">
        <v>179</v>
      </c>
      <c r="D195" s="106">
        <v>255201</v>
      </c>
      <c r="E195" s="106">
        <v>74100</v>
      </c>
      <c r="F195" s="117">
        <f t="shared" ref="F195:F240" si="13">SUM(D195:E195)</f>
        <v>329301</v>
      </c>
      <c r="G195" s="106">
        <v>255201</v>
      </c>
      <c r="H195" s="106">
        <v>74100</v>
      </c>
      <c r="I195" s="117">
        <f t="shared" ref="I195:I246" si="14">SUM(G195:H195)</f>
        <v>329301</v>
      </c>
    </row>
    <row r="196" spans="1:9">
      <c r="A196" s="119">
        <v>106</v>
      </c>
      <c r="B196" s="119">
        <v>3</v>
      </c>
      <c r="C196" s="120" t="s">
        <v>180</v>
      </c>
      <c r="D196" s="106">
        <f>0</f>
        <v>0</v>
      </c>
      <c r="E196" s="106">
        <f>103000+103000+103000+103000</f>
        <v>412000</v>
      </c>
      <c r="F196" s="117">
        <f t="shared" si="13"/>
        <v>412000</v>
      </c>
      <c r="G196" s="106">
        <f>0</f>
        <v>0</v>
      </c>
      <c r="H196" s="106">
        <v>103000</v>
      </c>
      <c r="I196" s="117">
        <f t="shared" si="14"/>
        <v>103000</v>
      </c>
    </row>
    <row r="197" spans="1:9">
      <c r="A197" s="119">
        <v>107</v>
      </c>
      <c r="B197" s="119">
        <v>4</v>
      </c>
      <c r="C197" s="105" t="s">
        <v>181</v>
      </c>
      <c r="D197" s="106">
        <v>242000</v>
      </c>
      <c r="E197" s="106">
        <f>0</f>
        <v>0</v>
      </c>
      <c r="F197" s="117">
        <f t="shared" si="13"/>
        <v>242000</v>
      </c>
      <c r="G197" s="106">
        <v>242000</v>
      </c>
      <c r="H197" s="106">
        <f>0</f>
        <v>0</v>
      </c>
      <c r="I197" s="117">
        <f t="shared" si="14"/>
        <v>242000</v>
      </c>
    </row>
    <row r="198" spans="1:9">
      <c r="A198" s="119">
        <v>108</v>
      </c>
      <c r="B198" s="119">
        <v>5</v>
      </c>
      <c r="C198" s="130" t="s">
        <v>182</v>
      </c>
      <c r="D198" s="106">
        <f>0</f>
        <v>0</v>
      </c>
      <c r="E198" s="106">
        <f>0</f>
        <v>0</v>
      </c>
      <c r="F198" s="117">
        <f t="shared" si="13"/>
        <v>0</v>
      </c>
      <c r="G198" s="106">
        <f>0</f>
        <v>0</v>
      </c>
      <c r="H198" s="106">
        <f>0</f>
        <v>0</v>
      </c>
      <c r="I198" s="117">
        <f t="shared" si="14"/>
        <v>0</v>
      </c>
    </row>
    <row r="199" spans="1:9">
      <c r="A199" s="119">
        <v>109</v>
      </c>
      <c r="B199" s="119">
        <v>6</v>
      </c>
      <c r="C199" s="130" t="s">
        <v>183</v>
      </c>
      <c r="D199" s="106">
        <f>0</f>
        <v>0</v>
      </c>
      <c r="E199" s="106">
        <f>0</f>
        <v>0</v>
      </c>
      <c r="F199" s="117">
        <f t="shared" si="13"/>
        <v>0</v>
      </c>
      <c r="G199" s="106">
        <f>190075+190075</f>
        <v>380150</v>
      </c>
      <c r="H199" s="106">
        <f>350000+350000</f>
        <v>700000</v>
      </c>
      <c r="I199" s="117">
        <f t="shared" si="14"/>
        <v>1080150</v>
      </c>
    </row>
    <row r="200" spans="1:9">
      <c r="A200" s="119">
        <v>110</v>
      </c>
      <c r="B200" s="119">
        <v>7</v>
      </c>
      <c r="C200" s="130" t="s">
        <v>184</v>
      </c>
      <c r="D200" s="106">
        <f>0</f>
        <v>0</v>
      </c>
      <c r="E200" s="106">
        <f>0</f>
        <v>0</v>
      </c>
      <c r="F200" s="117">
        <f t="shared" si="13"/>
        <v>0</v>
      </c>
      <c r="G200" s="106">
        <f>442800+442800</f>
        <v>885600</v>
      </c>
      <c r="H200" s="106">
        <f>361500+361500</f>
        <v>723000</v>
      </c>
      <c r="I200" s="117">
        <f t="shared" si="14"/>
        <v>1608600</v>
      </c>
    </row>
    <row r="201" spans="1:9">
      <c r="A201" s="119">
        <v>111</v>
      </c>
      <c r="B201" s="119">
        <v>8</v>
      </c>
      <c r="C201" s="130" t="s">
        <v>185</v>
      </c>
      <c r="D201" s="106">
        <f>0</f>
        <v>0</v>
      </c>
      <c r="E201" s="106">
        <f>0</f>
        <v>0</v>
      </c>
      <c r="F201" s="117">
        <f t="shared" si="13"/>
        <v>0</v>
      </c>
      <c r="G201" s="106">
        <f>0</f>
        <v>0</v>
      </c>
      <c r="H201" s="106">
        <f>0</f>
        <v>0</v>
      </c>
      <c r="I201" s="117">
        <f t="shared" si="14"/>
        <v>0</v>
      </c>
    </row>
    <row r="202" spans="1:9">
      <c r="A202" s="119">
        <v>112</v>
      </c>
      <c r="B202" s="119">
        <v>9</v>
      </c>
      <c r="C202" s="130" t="s">
        <v>186</v>
      </c>
      <c r="D202" s="106">
        <f>0</f>
        <v>0</v>
      </c>
      <c r="E202" s="106">
        <f>0</f>
        <v>0</v>
      </c>
      <c r="F202" s="117">
        <f t="shared" si="13"/>
        <v>0</v>
      </c>
      <c r="G202" s="106">
        <f>0</f>
        <v>0</v>
      </c>
      <c r="H202" s="106">
        <f>0</f>
        <v>0</v>
      </c>
      <c r="I202" s="117">
        <f t="shared" si="14"/>
        <v>0</v>
      </c>
    </row>
    <row r="203" spans="1:9">
      <c r="A203" s="119">
        <v>113</v>
      </c>
      <c r="B203" s="119">
        <v>10</v>
      </c>
      <c r="C203" s="130" t="s">
        <v>187</v>
      </c>
      <c r="D203" s="106">
        <f>0</f>
        <v>0</v>
      </c>
      <c r="E203" s="106">
        <f>317000+322000</f>
        <v>639000</v>
      </c>
      <c r="F203" s="117">
        <f t="shared" si="13"/>
        <v>639000</v>
      </c>
      <c r="G203" s="106">
        <f>0</f>
        <v>0</v>
      </c>
      <c r="H203" s="106">
        <f>0</f>
        <v>0</v>
      </c>
      <c r="I203" s="117">
        <f t="shared" si="14"/>
        <v>0</v>
      </c>
    </row>
    <row r="204" spans="1:9">
      <c r="A204" s="119">
        <v>114</v>
      </c>
      <c r="B204" s="119">
        <v>11</v>
      </c>
      <c r="C204" s="130" t="s">
        <v>188</v>
      </c>
      <c r="D204" s="106">
        <f>0</f>
        <v>0</v>
      </c>
      <c r="E204" s="106">
        <f>0</f>
        <v>0</v>
      </c>
      <c r="F204" s="117">
        <f t="shared" si="13"/>
        <v>0</v>
      </c>
      <c r="G204" s="106">
        <f>0</f>
        <v>0</v>
      </c>
      <c r="H204" s="106">
        <f>0</f>
        <v>0</v>
      </c>
      <c r="I204" s="117">
        <f t="shared" si="14"/>
        <v>0</v>
      </c>
    </row>
    <row r="205" spans="1:9">
      <c r="A205" s="119">
        <v>115</v>
      </c>
      <c r="B205" s="119">
        <v>12</v>
      </c>
      <c r="C205" s="130" t="s">
        <v>189</v>
      </c>
      <c r="D205" s="106">
        <f>0</f>
        <v>0</v>
      </c>
      <c r="E205" s="106">
        <f>0</f>
        <v>0</v>
      </c>
      <c r="F205" s="117">
        <f t="shared" si="13"/>
        <v>0</v>
      </c>
      <c r="G205" s="106">
        <f>0</f>
        <v>0</v>
      </c>
      <c r="H205" s="106">
        <f>0</f>
        <v>0</v>
      </c>
      <c r="I205" s="117">
        <f t="shared" si="14"/>
        <v>0</v>
      </c>
    </row>
    <row r="206" spans="1:9">
      <c r="A206" s="119">
        <v>116</v>
      </c>
      <c r="B206" s="119">
        <v>13</v>
      </c>
      <c r="C206" s="130" t="s">
        <v>190</v>
      </c>
      <c r="D206" s="106">
        <v>989800</v>
      </c>
      <c r="E206" s="106">
        <v>1125000</v>
      </c>
      <c r="F206" s="117">
        <f t="shared" si="13"/>
        <v>2114800</v>
      </c>
      <c r="G206" s="106">
        <f>0</f>
        <v>0</v>
      </c>
      <c r="H206" s="106">
        <f>0</f>
        <v>0</v>
      </c>
      <c r="I206" s="117">
        <f t="shared" si="14"/>
        <v>0</v>
      </c>
    </row>
    <row r="207" spans="1:9">
      <c r="A207" s="119">
        <v>117</v>
      </c>
      <c r="B207" s="119">
        <v>14</v>
      </c>
      <c r="C207" s="130" t="s">
        <v>191</v>
      </c>
      <c r="D207" s="106">
        <f>0</f>
        <v>0</v>
      </c>
      <c r="E207" s="106">
        <f>0</f>
        <v>0</v>
      </c>
      <c r="F207" s="117">
        <f t="shared" si="13"/>
        <v>0</v>
      </c>
      <c r="G207" s="106">
        <f>0</f>
        <v>0</v>
      </c>
      <c r="H207" s="106">
        <f>0</f>
        <v>0</v>
      </c>
      <c r="I207" s="117">
        <f t="shared" si="14"/>
        <v>0</v>
      </c>
    </row>
    <row r="208" spans="1:9">
      <c r="A208" s="119">
        <v>118</v>
      </c>
      <c r="B208" s="119">
        <v>15</v>
      </c>
      <c r="C208" s="130" t="s">
        <v>192</v>
      </c>
      <c r="D208" s="106">
        <f>0</f>
        <v>0</v>
      </c>
      <c r="E208" s="106">
        <v>28000</v>
      </c>
      <c r="F208" s="117">
        <f t="shared" si="13"/>
        <v>28000</v>
      </c>
      <c r="G208" s="106">
        <f>0</f>
        <v>0</v>
      </c>
      <c r="H208" s="106">
        <v>27000</v>
      </c>
      <c r="I208" s="117">
        <f t="shared" si="14"/>
        <v>27000</v>
      </c>
    </row>
    <row r="209" spans="1:9">
      <c r="A209" s="119">
        <v>119</v>
      </c>
      <c r="B209" s="119">
        <v>16</v>
      </c>
      <c r="C209" s="130" t="s">
        <v>193</v>
      </c>
      <c r="D209" s="106">
        <f>0</f>
        <v>0</v>
      </c>
      <c r="E209" s="106">
        <f>0</f>
        <v>0</v>
      </c>
      <c r="F209" s="117">
        <f t="shared" si="13"/>
        <v>0</v>
      </c>
      <c r="G209" s="106">
        <f>0</f>
        <v>0</v>
      </c>
      <c r="H209" s="106">
        <f>0</f>
        <v>0</v>
      </c>
      <c r="I209" s="117">
        <f t="shared" si="14"/>
        <v>0</v>
      </c>
    </row>
    <row r="210" spans="1:9">
      <c r="A210" s="119">
        <v>120</v>
      </c>
      <c r="B210" s="119">
        <v>17</v>
      </c>
      <c r="C210" s="130" t="s">
        <v>194</v>
      </c>
      <c r="D210" s="106">
        <f>0</f>
        <v>0</v>
      </c>
      <c r="E210" s="106">
        <v>27000</v>
      </c>
      <c r="F210" s="117">
        <f t="shared" si="13"/>
        <v>27000</v>
      </c>
      <c r="G210" s="106">
        <f>0</f>
        <v>0</v>
      </c>
      <c r="H210" s="106">
        <v>27000</v>
      </c>
      <c r="I210" s="117">
        <f t="shared" si="14"/>
        <v>27000</v>
      </c>
    </row>
    <row r="211" spans="1:9">
      <c r="A211" s="119">
        <v>121</v>
      </c>
      <c r="B211" s="119">
        <v>18</v>
      </c>
      <c r="C211" s="130" t="s">
        <v>195</v>
      </c>
      <c r="D211" s="106">
        <f>0</f>
        <v>0</v>
      </c>
      <c r="E211" s="106">
        <f>0</f>
        <v>0</v>
      </c>
      <c r="F211" s="117">
        <f t="shared" si="13"/>
        <v>0</v>
      </c>
      <c r="G211" s="106">
        <f>0</f>
        <v>0</v>
      </c>
      <c r="H211" s="106">
        <f>0</f>
        <v>0</v>
      </c>
      <c r="I211" s="117">
        <f t="shared" si="14"/>
        <v>0</v>
      </c>
    </row>
    <row r="212" spans="1:9">
      <c r="A212" s="119">
        <v>122</v>
      </c>
      <c r="B212" s="119">
        <v>19</v>
      </c>
      <c r="C212" s="130" t="s">
        <v>196</v>
      </c>
      <c r="D212" s="106">
        <f>0</f>
        <v>0</v>
      </c>
      <c r="E212" s="106">
        <v>197000</v>
      </c>
      <c r="F212" s="117">
        <f t="shared" si="13"/>
        <v>197000</v>
      </c>
      <c r="G212" s="106">
        <f>0</f>
        <v>0</v>
      </c>
      <c r="H212" s="106">
        <v>197000</v>
      </c>
      <c r="I212" s="117">
        <f t="shared" si="14"/>
        <v>197000</v>
      </c>
    </row>
    <row r="213" spans="1:9">
      <c r="A213" s="119">
        <v>123</v>
      </c>
      <c r="B213" s="119">
        <v>20</v>
      </c>
      <c r="C213" s="130" t="s">
        <v>197</v>
      </c>
      <c r="D213" s="106">
        <f>0</f>
        <v>0</v>
      </c>
      <c r="E213" s="106">
        <f>116000+116000</f>
        <v>232000</v>
      </c>
      <c r="F213" s="117">
        <f t="shared" si="13"/>
        <v>232000</v>
      </c>
      <c r="G213" s="106">
        <f>0</f>
        <v>0</v>
      </c>
      <c r="H213" s="106">
        <f>0</f>
        <v>0</v>
      </c>
      <c r="I213" s="117">
        <f t="shared" si="14"/>
        <v>0</v>
      </c>
    </row>
    <row r="214" spans="1:9">
      <c r="A214" s="119">
        <v>124</v>
      </c>
      <c r="B214" s="119">
        <v>21</v>
      </c>
      <c r="C214" s="130" t="s">
        <v>198</v>
      </c>
      <c r="D214" s="106">
        <v>85000</v>
      </c>
      <c r="E214" s="106">
        <v>140000</v>
      </c>
      <c r="F214" s="117">
        <f t="shared" si="13"/>
        <v>225000</v>
      </c>
      <c r="G214" s="106">
        <v>85000</v>
      </c>
      <c r="H214" s="106">
        <v>140000</v>
      </c>
      <c r="I214" s="117">
        <f t="shared" si="14"/>
        <v>225000</v>
      </c>
    </row>
    <row r="215" spans="1:9">
      <c r="A215" s="119">
        <v>125</v>
      </c>
      <c r="B215" s="119">
        <v>22</v>
      </c>
      <c r="C215" s="130" t="s">
        <v>199</v>
      </c>
      <c r="D215" s="106">
        <f>0</f>
        <v>0</v>
      </c>
      <c r="E215" s="106">
        <v>192500</v>
      </c>
      <c r="F215" s="117">
        <f t="shared" si="13"/>
        <v>192500</v>
      </c>
      <c r="G215" s="106">
        <f>0</f>
        <v>0</v>
      </c>
      <c r="H215" s="106">
        <v>182500</v>
      </c>
      <c r="I215" s="117">
        <f t="shared" si="14"/>
        <v>182500</v>
      </c>
    </row>
    <row r="216" spans="1:9">
      <c r="A216" s="119">
        <v>126</v>
      </c>
      <c r="B216" s="119">
        <v>23</v>
      </c>
      <c r="C216" s="130" t="s">
        <v>200</v>
      </c>
      <c r="D216" s="106">
        <f>0</f>
        <v>0</v>
      </c>
      <c r="E216" s="106">
        <f>0</f>
        <v>0</v>
      </c>
      <c r="F216" s="117">
        <f t="shared" si="13"/>
        <v>0</v>
      </c>
      <c r="G216" s="106">
        <f>0</f>
        <v>0</v>
      </c>
      <c r="H216" s="106">
        <f>0</f>
        <v>0</v>
      </c>
      <c r="I216" s="117">
        <f t="shared" si="14"/>
        <v>0</v>
      </c>
    </row>
    <row r="217" spans="1:9">
      <c r="A217" s="119">
        <v>127</v>
      </c>
      <c r="B217" s="119">
        <v>24</v>
      </c>
      <c r="C217" s="130" t="s">
        <v>201</v>
      </c>
      <c r="D217" s="106">
        <f>0</f>
        <v>0</v>
      </c>
      <c r="E217" s="106">
        <f>0</f>
        <v>0</v>
      </c>
      <c r="F217" s="117">
        <f t="shared" si="13"/>
        <v>0</v>
      </c>
      <c r="G217" s="106">
        <f>79000+79000</f>
        <v>158000</v>
      </c>
      <c r="H217" s="106">
        <f>665000+665000</f>
        <v>1330000</v>
      </c>
      <c r="I217" s="117">
        <f t="shared" si="14"/>
        <v>1488000</v>
      </c>
    </row>
    <row r="218" spans="1:9">
      <c r="A218" s="119">
        <v>128</v>
      </c>
      <c r="B218" s="119">
        <v>25</v>
      </c>
      <c r="C218" s="130" t="s">
        <v>202</v>
      </c>
      <c r="D218" s="106">
        <f>0</f>
        <v>0</v>
      </c>
      <c r="E218" s="106">
        <f>0</f>
        <v>0</v>
      </c>
      <c r="F218" s="117">
        <f t="shared" si="13"/>
        <v>0</v>
      </c>
      <c r="G218" s="106">
        <f>0</f>
        <v>0</v>
      </c>
      <c r="H218" s="106">
        <f>0</f>
        <v>0</v>
      </c>
      <c r="I218" s="117">
        <f t="shared" si="14"/>
        <v>0</v>
      </c>
    </row>
    <row r="219" spans="1:9">
      <c r="A219" s="119">
        <v>129</v>
      </c>
      <c r="B219" s="119">
        <v>26</v>
      </c>
      <c r="C219" s="130" t="s">
        <v>203</v>
      </c>
      <c r="D219" s="106">
        <f>0</f>
        <v>0</v>
      </c>
      <c r="E219" s="106">
        <f>0</f>
        <v>0</v>
      </c>
      <c r="F219" s="117">
        <f t="shared" si="13"/>
        <v>0</v>
      </c>
      <c r="G219" s="106">
        <f>0</f>
        <v>0</v>
      </c>
      <c r="H219" s="106">
        <f>0</f>
        <v>0</v>
      </c>
      <c r="I219" s="117">
        <f t="shared" si="14"/>
        <v>0</v>
      </c>
    </row>
    <row r="220" spans="1:9">
      <c r="A220" s="119">
        <v>130</v>
      </c>
      <c r="B220" s="119">
        <v>27</v>
      </c>
      <c r="C220" s="130" t="s">
        <v>204</v>
      </c>
      <c r="D220" s="106">
        <v>1000000</v>
      </c>
      <c r="E220" s="106">
        <f>0</f>
        <v>0</v>
      </c>
      <c r="F220" s="117">
        <f t="shared" si="13"/>
        <v>1000000</v>
      </c>
      <c r="G220" s="106">
        <v>1000000</v>
      </c>
      <c r="H220" s="106">
        <f>0</f>
        <v>0</v>
      </c>
      <c r="I220" s="117">
        <f t="shared" si="14"/>
        <v>1000000</v>
      </c>
    </row>
    <row r="221" spans="1:9">
      <c r="A221" s="119">
        <v>131</v>
      </c>
      <c r="B221" s="119">
        <v>28</v>
      </c>
      <c r="C221" s="130" t="s">
        <v>205</v>
      </c>
      <c r="D221" s="106">
        <f>0</f>
        <v>0</v>
      </c>
      <c r="E221" s="106">
        <f>0</f>
        <v>0</v>
      </c>
      <c r="F221" s="117">
        <f t="shared" si="13"/>
        <v>0</v>
      </c>
      <c r="G221" s="106">
        <f>0</f>
        <v>0</v>
      </c>
      <c r="H221" s="106">
        <f>0</f>
        <v>0</v>
      </c>
      <c r="I221" s="117">
        <f t="shared" si="14"/>
        <v>0</v>
      </c>
    </row>
    <row r="222" spans="1:9">
      <c r="A222" s="119">
        <v>132</v>
      </c>
      <c r="B222" s="119">
        <v>29</v>
      </c>
      <c r="C222" s="130" t="s">
        <v>206</v>
      </c>
      <c r="D222" s="106">
        <f>0</f>
        <v>0</v>
      </c>
      <c r="E222" s="106">
        <f>0</f>
        <v>0</v>
      </c>
      <c r="F222" s="117">
        <f t="shared" si="13"/>
        <v>0</v>
      </c>
      <c r="G222" s="106">
        <f>0</f>
        <v>0</v>
      </c>
      <c r="H222" s="106">
        <f>0</f>
        <v>0</v>
      </c>
      <c r="I222" s="117">
        <f t="shared" si="14"/>
        <v>0</v>
      </c>
    </row>
    <row r="223" spans="1:9">
      <c r="A223" s="119">
        <v>133</v>
      </c>
      <c r="B223" s="119">
        <v>30</v>
      </c>
      <c r="C223" s="130" t="s">
        <v>207</v>
      </c>
      <c r="D223" s="106">
        <f>0</f>
        <v>0</v>
      </c>
      <c r="E223" s="106">
        <f>0</f>
        <v>0</v>
      </c>
      <c r="F223" s="117">
        <f t="shared" si="13"/>
        <v>0</v>
      </c>
      <c r="G223" s="106">
        <f>0</f>
        <v>0</v>
      </c>
      <c r="H223" s="106">
        <f>0</f>
        <v>0</v>
      </c>
      <c r="I223" s="117">
        <f t="shared" si="14"/>
        <v>0</v>
      </c>
    </row>
    <row r="224" spans="1:9">
      <c r="A224" s="119">
        <v>134</v>
      </c>
      <c r="B224" s="119">
        <v>31</v>
      </c>
      <c r="C224" s="130" t="s">
        <v>208</v>
      </c>
      <c r="D224" s="106">
        <f>0</f>
        <v>0</v>
      </c>
      <c r="E224" s="106">
        <f>0</f>
        <v>0</v>
      </c>
      <c r="F224" s="117">
        <f t="shared" si="13"/>
        <v>0</v>
      </c>
      <c r="G224" s="106">
        <f>0</f>
        <v>0</v>
      </c>
      <c r="H224" s="106">
        <f>0</f>
        <v>0</v>
      </c>
      <c r="I224" s="117">
        <f t="shared" si="14"/>
        <v>0</v>
      </c>
    </row>
    <row r="225" spans="1:9">
      <c r="A225" s="119">
        <v>135</v>
      </c>
      <c r="B225" s="119">
        <v>32</v>
      </c>
      <c r="C225" s="130" t="s">
        <v>209</v>
      </c>
      <c r="D225" s="106">
        <f>0</f>
        <v>0</v>
      </c>
      <c r="E225" s="106">
        <f>0</f>
        <v>0</v>
      </c>
      <c r="F225" s="117">
        <f t="shared" si="13"/>
        <v>0</v>
      </c>
      <c r="G225" s="106">
        <f>0</f>
        <v>0</v>
      </c>
      <c r="H225" s="106">
        <f>106000+106000</f>
        <v>212000</v>
      </c>
      <c r="I225" s="117">
        <f t="shared" si="14"/>
        <v>212000</v>
      </c>
    </row>
    <row r="226" spans="1:9">
      <c r="A226" s="119">
        <v>136</v>
      </c>
      <c r="B226" s="119">
        <v>33</v>
      </c>
      <c r="C226" s="130" t="s">
        <v>210</v>
      </c>
      <c r="D226" s="106">
        <v>88000</v>
      </c>
      <c r="E226" s="106">
        <f>0</f>
        <v>0</v>
      </c>
      <c r="F226" s="117">
        <f t="shared" si="13"/>
        <v>88000</v>
      </c>
      <c r="G226" s="106">
        <f>0</f>
        <v>0</v>
      </c>
      <c r="H226" s="106">
        <f>0</f>
        <v>0</v>
      </c>
      <c r="I226" s="117">
        <f t="shared" si="14"/>
        <v>0</v>
      </c>
    </row>
    <row r="227" spans="1:9">
      <c r="A227" s="119">
        <v>137</v>
      </c>
      <c r="B227" s="119">
        <v>34</v>
      </c>
      <c r="C227" s="130" t="s">
        <v>211</v>
      </c>
      <c r="D227" s="106">
        <f>0</f>
        <v>0</v>
      </c>
      <c r="E227" s="106">
        <f>0</f>
        <v>0</v>
      </c>
      <c r="F227" s="117">
        <f t="shared" si="13"/>
        <v>0</v>
      </c>
      <c r="G227" s="106">
        <f>0</f>
        <v>0</v>
      </c>
      <c r="H227" s="106">
        <f>0</f>
        <v>0</v>
      </c>
      <c r="I227" s="117">
        <f t="shared" si="14"/>
        <v>0</v>
      </c>
    </row>
    <row r="228" spans="1:9">
      <c r="A228" s="119">
        <v>138</v>
      </c>
      <c r="B228" s="119">
        <v>35</v>
      </c>
      <c r="C228" s="130" t="s">
        <v>212</v>
      </c>
      <c r="D228" s="106">
        <f>0</f>
        <v>0</v>
      </c>
      <c r="E228" s="106">
        <f>0</f>
        <v>0</v>
      </c>
      <c r="F228" s="117">
        <f t="shared" si="13"/>
        <v>0</v>
      </c>
      <c r="G228" s="106">
        <f>0</f>
        <v>0</v>
      </c>
      <c r="H228" s="106">
        <f>0</f>
        <v>0</v>
      </c>
      <c r="I228" s="117">
        <f t="shared" si="14"/>
        <v>0</v>
      </c>
    </row>
    <row r="229" spans="1:9">
      <c r="A229" s="119">
        <v>139</v>
      </c>
      <c r="B229" s="119">
        <v>36</v>
      </c>
      <c r="C229" s="130" t="s">
        <v>213</v>
      </c>
      <c r="D229" s="106">
        <f>0</f>
        <v>0</v>
      </c>
      <c r="E229" s="106">
        <f>0</f>
        <v>0</v>
      </c>
      <c r="F229" s="117">
        <f t="shared" si="13"/>
        <v>0</v>
      </c>
      <c r="G229" s="106">
        <f>0</f>
        <v>0</v>
      </c>
      <c r="H229" s="106">
        <f>0</f>
        <v>0</v>
      </c>
      <c r="I229" s="117">
        <f t="shared" si="14"/>
        <v>0</v>
      </c>
    </row>
    <row r="230" spans="1:9">
      <c r="A230" s="119">
        <v>140</v>
      </c>
      <c r="B230" s="119">
        <v>37</v>
      </c>
      <c r="C230" s="130" t="s">
        <v>214</v>
      </c>
      <c r="D230" s="106">
        <f>0</f>
        <v>0</v>
      </c>
      <c r="E230" s="106">
        <f>0</f>
        <v>0</v>
      </c>
      <c r="F230" s="117">
        <f t="shared" si="13"/>
        <v>0</v>
      </c>
      <c r="G230" s="106">
        <f>0</f>
        <v>0</v>
      </c>
      <c r="H230" s="106">
        <f>0</f>
        <v>0</v>
      </c>
      <c r="I230" s="117">
        <f t="shared" si="14"/>
        <v>0</v>
      </c>
    </row>
    <row r="231" spans="1:9">
      <c r="A231" s="119">
        <v>141</v>
      </c>
      <c r="B231" s="119">
        <v>38</v>
      </c>
      <c r="C231" s="130" t="s">
        <v>215</v>
      </c>
      <c r="D231" s="106">
        <f>0</f>
        <v>0</v>
      </c>
      <c r="E231" s="106">
        <f>0</f>
        <v>0</v>
      </c>
      <c r="F231" s="117">
        <f t="shared" si="13"/>
        <v>0</v>
      </c>
      <c r="G231" s="106">
        <f>0</f>
        <v>0</v>
      </c>
      <c r="H231" s="106">
        <f>0</f>
        <v>0</v>
      </c>
      <c r="I231" s="117">
        <f t="shared" si="14"/>
        <v>0</v>
      </c>
    </row>
    <row r="232" spans="1:9">
      <c r="A232" s="119">
        <v>142</v>
      </c>
      <c r="B232" s="119">
        <v>39</v>
      </c>
      <c r="C232" s="130" t="s">
        <v>216</v>
      </c>
      <c r="D232" s="106">
        <f>0</f>
        <v>0</v>
      </c>
      <c r="E232" s="106">
        <v>350000</v>
      </c>
      <c r="F232" s="117">
        <f t="shared" si="13"/>
        <v>350000</v>
      </c>
      <c r="G232" s="106">
        <f>0</f>
        <v>0</v>
      </c>
      <c r="H232" s="106">
        <v>350000</v>
      </c>
      <c r="I232" s="117">
        <f t="shared" si="14"/>
        <v>350000</v>
      </c>
    </row>
    <row r="233" spans="1:9">
      <c r="A233" s="119">
        <v>143</v>
      </c>
      <c r="B233" s="119">
        <v>40</v>
      </c>
      <c r="C233" s="130" t="s">
        <v>217</v>
      </c>
      <c r="D233" s="106">
        <f>0</f>
        <v>0</v>
      </c>
      <c r="E233" s="106">
        <f>0</f>
        <v>0</v>
      </c>
      <c r="F233" s="117">
        <f t="shared" si="13"/>
        <v>0</v>
      </c>
      <c r="G233" s="106">
        <f>0</f>
        <v>0</v>
      </c>
      <c r="H233" s="106">
        <f>0</f>
        <v>0</v>
      </c>
      <c r="I233" s="117">
        <f t="shared" si="14"/>
        <v>0</v>
      </c>
    </row>
    <row r="234" spans="1:9">
      <c r="A234" s="119">
        <v>144</v>
      </c>
      <c r="B234" s="119">
        <v>41</v>
      </c>
      <c r="C234" s="130" t="s">
        <v>218</v>
      </c>
      <c r="D234" s="106">
        <f>0</f>
        <v>0</v>
      </c>
      <c r="E234" s="106">
        <f>0</f>
        <v>0</v>
      </c>
      <c r="F234" s="117">
        <f t="shared" si="13"/>
        <v>0</v>
      </c>
      <c r="G234" s="106">
        <f>0</f>
        <v>0</v>
      </c>
      <c r="H234" s="106">
        <v>750000</v>
      </c>
      <c r="I234" s="117">
        <f t="shared" si="14"/>
        <v>750000</v>
      </c>
    </row>
    <row r="235" spans="1:9">
      <c r="A235" s="119">
        <v>145</v>
      </c>
      <c r="B235" s="119">
        <v>42</v>
      </c>
      <c r="C235" s="130" t="s">
        <v>219</v>
      </c>
      <c r="D235" s="106">
        <f>0</f>
        <v>0</v>
      </c>
      <c r="E235" s="106">
        <f>0</f>
        <v>0</v>
      </c>
      <c r="F235" s="117">
        <f t="shared" si="13"/>
        <v>0</v>
      </c>
      <c r="G235" s="106">
        <f>0</f>
        <v>0</v>
      </c>
      <c r="H235" s="106">
        <f>0</f>
        <v>0</v>
      </c>
      <c r="I235" s="117">
        <f t="shared" si="14"/>
        <v>0</v>
      </c>
    </row>
    <row r="236" spans="1:9">
      <c r="A236" s="119">
        <v>146</v>
      </c>
      <c r="B236" s="119">
        <v>43</v>
      </c>
      <c r="C236" s="130" t="s">
        <v>220</v>
      </c>
      <c r="D236" s="106">
        <v>400000</v>
      </c>
      <c r="E236" s="106">
        <f>0</f>
        <v>0</v>
      </c>
      <c r="F236" s="117">
        <f t="shared" si="13"/>
        <v>400000</v>
      </c>
      <c r="G236" s="106">
        <f>0</f>
        <v>0</v>
      </c>
      <c r="H236" s="106">
        <f>0</f>
        <v>0</v>
      </c>
      <c r="I236" s="117">
        <f t="shared" si="14"/>
        <v>0</v>
      </c>
    </row>
    <row r="237" spans="1:9">
      <c r="A237" s="119">
        <v>147</v>
      </c>
      <c r="B237" s="119">
        <v>44</v>
      </c>
      <c r="C237" s="130" t="s">
        <v>221</v>
      </c>
      <c r="D237" s="106">
        <f>0</f>
        <v>0</v>
      </c>
      <c r="E237" s="106">
        <f>0</f>
        <v>0</v>
      </c>
      <c r="F237" s="117">
        <f t="shared" si="13"/>
        <v>0</v>
      </c>
      <c r="G237" s="106">
        <f>0</f>
        <v>0</v>
      </c>
      <c r="H237" s="106">
        <f>0</f>
        <v>0</v>
      </c>
      <c r="I237" s="117">
        <f t="shared" si="14"/>
        <v>0</v>
      </c>
    </row>
    <row r="238" spans="1:9">
      <c r="A238" s="119">
        <v>148</v>
      </c>
      <c r="B238" s="119">
        <v>45</v>
      </c>
      <c r="C238" s="130" t="s">
        <v>222</v>
      </c>
      <c r="D238" s="106">
        <f>0</f>
        <v>0</v>
      </c>
      <c r="E238" s="106">
        <f>0</f>
        <v>0</v>
      </c>
      <c r="F238" s="117">
        <f t="shared" si="13"/>
        <v>0</v>
      </c>
      <c r="G238" s="106">
        <f>0</f>
        <v>0</v>
      </c>
      <c r="H238" s="106">
        <f>0</f>
        <v>0</v>
      </c>
      <c r="I238" s="117">
        <f t="shared" si="14"/>
        <v>0</v>
      </c>
    </row>
    <row r="239" spans="1:9">
      <c r="A239" s="119">
        <v>149</v>
      </c>
      <c r="B239" s="119">
        <v>46</v>
      </c>
      <c r="C239" s="130" t="s">
        <v>306</v>
      </c>
      <c r="D239" s="106">
        <v>750000</v>
      </c>
      <c r="E239" s="106">
        <f>0</f>
        <v>0</v>
      </c>
      <c r="F239" s="117">
        <f t="shared" si="13"/>
        <v>750000</v>
      </c>
      <c r="G239" s="106">
        <v>750000</v>
      </c>
      <c r="H239" s="106">
        <f>0</f>
        <v>0</v>
      </c>
      <c r="I239" s="117">
        <f t="shared" si="14"/>
        <v>750000</v>
      </c>
    </row>
    <row r="240" spans="1:9">
      <c r="A240" s="119">
        <v>150</v>
      </c>
      <c r="B240" s="119">
        <v>47</v>
      </c>
      <c r="C240" s="130" t="s">
        <v>281</v>
      </c>
      <c r="D240" s="106">
        <v>350000</v>
      </c>
      <c r="E240" s="106">
        <f>0</f>
        <v>0</v>
      </c>
      <c r="F240" s="117">
        <f t="shared" si="13"/>
        <v>350000</v>
      </c>
      <c r="G240" s="106">
        <v>350000</v>
      </c>
      <c r="H240" s="106">
        <f>0</f>
        <v>0</v>
      </c>
      <c r="I240" s="117">
        <f t="shared" si="14"/>
        <v>350000</v>
      </c>
    </row>
    <row r="241" spans="1:9">
      <c r="A241" s="119">
        <v>151</v>
      </c>
      <c r="B241" s="119">
        <v>48</v>
      </c>
      <c r="C241" s="130" t="s">
        <v>347</v>
      </c>
      <c r="D241" s="106">
        <v>2000000</v>
      </c>
      <c r="E241" s="106">
        <f>0</f>
        <v>0</v>
      </c>
      <c r="F241" s="117"/>
      <c r="G241" s="106">
        <v>1000000</v>
      </c>
      <c r="H241" s="106">
        <f>0</f>
        <v>0</v>
      </c>
      <c r="I241" s="117">
        <f t="shared" si="14"/>
        <v>1000000</v>
      </c>
    </row>
    <row r="242" spans="1:9">
      <c r="A242" s="119">
        <v>152</v>
      </c>
      <c r="B242" s="119">
        <v>49</v>
      </c>
      <c r="C242" s="130" t="s">
        <v>348</v>
      </c>
      <c r="D242" s="106">
        <v>500000</v>
      </c>
      <c r="E242" s="106">
        <f>0</f>
        <v>0</v>
      </c>
      <c r="F242" s="117"/>
      <c r="G242" s="106">
        <v>500000</v>
      </c>
      <c r="H242" s="106">
        <f>0</f>
        <v>0</v>
      </c>
      <c r="I242" s="117">
        <f t="shared" si="14"/>
        <v>500000</v>
      </c>
    </row>
    <row r="243" spans="1:9">
      <c r="A243" s="119">
        <v>153</v>
      </c>
      <c r="B243" s="119">
        <v>50</v>
      </c>
      <c r="C243" s="130" t="s">
        <v>374</v>
      </c>
      <c r="D243" s="106"/>
      <c r="E243" s="106"/>
      <c r="F243" s="117"/>
      <c r="G243" s="106">
        <v>8500000</v>
      </c>
      <c r="H243" s="106">
        <f>0</f>
        <v>0</v>
      </c>
      <c r="I243" s="117">
        <f t="shared" si="14"/>
        <v>8500000</v>
      </c>
    </row>
    <row r="244" spans="1:9">
      <c r="A244" s="119">
        <v>154</v>
      </c>
      <c r="B244" s="119">
        <v>51</v>
      </c>
      <c r="C244" s="130" t="s">
        <v>375</v>
      </c>
      <c r="D244" s="106"/>
      <c r="E244" s="106"/>
      <c r="F244" s="117"/>
      <c r="G244" s="106">
        <f>0</f>
        <v>0</v>
      </c>
      <c r="H244" s="106">
        <v>28000</v>
      </c>
      <c r="I244" s="117">
        <f t="shared" si="14"/>
        <v>28000</v>
      </c>
    </row>
    <row r="245" spans="1:9">
      <c r="A245" s="119">
        <v>155</v>
      </c>
      <c r="B245" s="119">
        <v>52</v>
      </c>
      <c r="C245" s="130" t="s">
        <v>224</v>
      </c>
      <c r="D245" s="106">
        <f>0</f>
        <v>0</v>
      </c>
      <c r="E245" s="106">
        <f>0</f>
        <v>0</v>
      </c>
      <c r="F245" s="117">
        <f>SUM(D245:E245)</f>
        <v>0</v>
      </c>
      <c r="G245" s="106">
        <f>0</f>
        <v>0</v>
      </c>
      <c r="H245" s="106">
        <f>0</f>
        <v>0</v>
      </c>
      <c r="I245" s="117">
        <f t="shared" si="14"/>
        <v>0</v>
      </c>
    </row>
    <row r="246" spans="1:9">
      <c r="A246" s="119">
        <v>156</v>
      </c>
      <c r="B246" s="119">
        <v>53</v>
      </c>
      <c r="C246" s="131" t="s">
        <v>225</v>
      </c>
      <c r="D246" s="106">
        <v>860000</v>
      </c>
      <c r="E246" s="106">
        <f>0</f>
        <v>0</v>
      </c>
      <c r="F246" s="117">
        <f>SUM(D246:E246)</f>
        <v>860000</v>
      </c>
      <c r="G246" s="106">
        <v>860000</v>
      </c>
      <c r="H246" s="106">
        <f>0</f>
        <v>0</v>
      </c>
      <c r="I246" s="117">
        <f t="shared" si="14"/>
        <v>860000</v>
      </c>
    </row>
    <row r="247" spans="1:9">
      <c r="A247" s="132" t="s">
        <v>58</v>
      </c>
      <c r="B247" s="132"/>
      <c r="C247" s="132"/>
      <c r="D247" s="110">
        <f>SUM(D194:D246)</f>
        <v>7520001</v>
      </c>
      <c r="E247" s="110">
        <f>SUM(E194:E246)</f>
        <v>3416600</v>
      </c>
      <c r="F247" s="110">
        <f>SUM(D247:E247)</f>
        <v>10936601</v>
      </c>
      <c r="G247" s="110">
        <f>SUM(G194:G246)</f>
        <v>14965951</v>
      </c>
      <c r="H247" s="110">
        <f>SUM(H194:H246)</f>
        <v>4843600</v>
      </c>
      <c r="I247" s="110">
        <f>SUM(G247:H247)</f>
        <v>19809551</v>
      </c>
    </row>
    <row r="248" spans="1:9">
      <c r="A248" s="108" t="s">
        <v>226</v>
      </c>
      <c r="B248" s="109"/>
      <c r="C248" s="109"/>
      <c r="D248" s="109"/>
      <c r="E248" s="109"/>
      <c r="F248" s="109"/>
      <c r="G248" s="109"/>
      <c r="H248" s="109"/>
      <c r="I248" s="113"/>
    </row>
    <row r="249" spans="1:9">
      <c r="A249" s="119">
        <v>157</v>
      </c>
      <c r="B249" s="119">
        <v>1</v>
      </c>
      <c r="C249" s="125" t="s">
        <v>227</v>
      </c>
      <c r="D249" s="106">
        <f>0</f>
        <v>0</v>
      </c>
      <c r="E249" s="106">
        <f>0</f>
        <v>0</v>
      </c>
      <c r="F249" s="117">
        <f>SUM(D249:E249)</f>
        <v>0</v>
      </c>
      <c r="G249" s="106">
        <v>1247098</v>
      </c>
      <c r="H249" s="106">
        <v>35000</v>
      </c>
      <c r="I249" s="117">
        <f>SUM(G249:H249)</f>
        <v>1282098</v>
      </c>
    </row>
    <row r="250" spans="1:9">
      <c r="A250" s="108" t="s">
        <v>101</v>
      </c>
      <c r="B250" s="109"/>
      <c r="C250" s="109"/>
      <c r="D250" s="110">
        <f>D249</f>
        <v>0</v>
      </c>
      <c r="E250" s="110">
        <f>E249</f>
        <v>0</v>
      </c>
      <c r="F250" s="110">
        <f>SUM(D250:E250)</f>
        <v>0</v>
      </c>
      <c r="G250" s="110">
        <f>G249</f>
        <v>1247098</v>
      </c>
      <c r="H250" s="110">
        <f>H249</f>
        <v>35000</v>
      </c>
      <c r="I250" s="110">
        <f>SUM(G250:H250)</f>
        <v>1282098</v>
      </c>
    </row>
    <row r="251" spans="1:9">
      <c r="A251" s="108" t="s">
        <v>228</v>
      </c>
      <c r="B251" s="109"/>
      <c r="C251" s="109"/>
      <c r="D251" s="109"/>
      <c r="E251" s="109"/>
      <c r="F251" s="109"/>
      <c r="G251" s="109"/>
      <c r="H251" s="109"/>
      <c r="I251" s="113"/>
    </row>
    <row r="252" spans="1:9">
      <c r="A252" s="119">
        <v>158</v>
      </c>
      <c r="B252" s="119">
        <v>1</v>
      </c>
      <c r="C252" s="133" t="s">
        <v>229</v>
      </c>
      <c r="D252" s="106">
        <f>0</f>
        <v>0</v>
      </c>
      <c r="E252" s="134">
        <f>0</f>
        <v>0</v>
      </c>
      <c r="F252" s="117">
        <f>SUM(D252:E252)</f>
        <v>0</v>
      </c>
      <c r="G252" s="106">
        <f>0</f>
        <v>0</v>
      </c>
      <c r="H252" s="134">
        <f>0</f>
        <v>0</v>
      </c>
      <c r="I252" s="117">
        <f>SUM(G252:H252)</f>
        <v>0</v>
      </c>
    </row>
    <row r="253" spans="1:9">
      <c r="A253" s="108" t="s">
        <v>101</v>
      </c>
      <c r="B253" s="109"/>
      <c r="C253" s="109"/>
      <c r="D253" s="110">
        <f>D252</f>
        <v>0</v>
      </c>
      <c r="E253" s="110">
        <f>E252</f>
        <v>0</v>
      </c>
      <c r="F253" s="110">
        <f>SUM(D253:E253)</f>
        <v>0</v>
      </c>
      <c r="G253" s="110">
        <f>G252</f>
        <v>0</v>
      </c>
      <c r="H253" s="110">
        <f>H252</f>
        <v>0</v>
      </c>
      <c r="I253" s="110">
        <f>SUM(G253:H253)</f>
        <v>0</v>
      </c>
    </row>
    <row r="254" spans="1:9">
      <c r="A254" s="108" t="s">
        <v>230</v>
      </c>
      <c r="B254" s="109"/>
      <c r="C254" s="109"/>
      <c r="D254" s="109"/>
      <c r="E254" s="109"/>
      <c r="F254" s="109"/>
      <c r="G254" s="109"/>
      <c r="H254" s="109"/>
      <c r="I254" s="113"/>
    </row>
    <row r="255" spans="1:9" s="189" customFormat="1">
      <c r="A255" s="186">
        <v>159</v>
      </c>
      <c r="B255" s="186">
        <v>1</v>
      </c>
      <c r="C255" s="228" t="s">
        <v>231</v>
      </c>
      <c r="D255" s="187">
        <f>0</f>
        <v>0</v>
      </c>
      <c r="E255" s="187">
        <f>0</f>
        <v>0</v>
      </c>
      <c r="F255" s="188">
        <f>SUM(D255:E255)</f>
        <v>0</v>
      </c>
      <c r="G255" s="187">
        <f>0</f>
        <v>0</v>
      </c>
      <c r="H255" s="187">
        <f>0</f>
        <v>0</v>
      </c>
      <c r="I255" s="188">
        <f>SUM(G255:H255)</f>
        <v>0</v>
      </c>
    </row>
    <row r="256" spans="1:9" s="189" customFormat="1">
      <c r="A256" s="186">
        <v>160</v>
      </c>
      <c r="B256" s="186">
        <v>2</v>
      </c>
      <c r="C256" s="228" t="s">
        <v>232</v>
      </c>
      <c r="D256" s="187">
        <v>750000</v>
      </c>
      <c r="E256" s="187">
        <f>0</f>
        <v>0</v>
      </c>
      <c r="F256" s="188">
        <f t="shared" ref="F256:F270" si="15">SUM(D256:E256)</f>
        <v>750000</v>
      </c>
      <c r="G256" s="187">
        <f>0</f>
        <v>0</v>
      </c>
      <c r="H256" s="187">
        <f>1594650+865500</f>
        <v>2460150</v>
      </c>
      <c r="I256" s="188">
        <f t="shared" ref="I256:I270" si="16">SUM(G256:H256)</f>
        <v>2460150</v>
      </c>
    </row>
    <row r="257" spans="1:9" s="189" customFormat="1">
      <c r="A257" s="186">
        <v>161</v>
      </c>
      <c r="B257" s="186">
        <v>3</v>
      </c>
      <c r="C257" s="229" t="s">
        <v>307</v>
      </c>
      <c r="D257" s="187">
        <f>0</f>
        <v>0</v>
      </c>
      <c r="E257" s="187">
        <f>0</f>
        <v>0</v>
      </c>
      <c r="F257" s="188">
        <f t="shared" si="15"/>
        <v>0</v>
      </c>
      <c r="G257" s="187">
        <f>0</f>
        <v>0</v>
      </c>
      <c r="H257" s="187">
        <f>0</f>
        <v>0</v>
      </c>
      <c r="I257" s="188">
        <f t="shared" si="16"/>
        <v>0</v>
      </c>
    </row>
    <row r="258" spans="1:9" s="189" customFormat="1">
      <c r="A258" s="186">
        <v>162</v>
      </c>
      <c r="B258" s="186">
        <v>4</v>
      </c>
      <c r="C258" s="135" t="s">
        <v>233</v>
      </c>
      <c r="D258" s="187">
        <f>400000+250000+135000+75000+200000</f>
        <v>1060000</v>
      </c>
      <c r="E258" s="187">
        <f>400000+100000</f>
        <v>500000</v>
      </c>
      <c r="F258" s="188">
        <f t="shared" si="15"/>
        <v>1560000</v>
      </c>
      <c r="G258" s="187">
        <f>350000+200000+200000+110000</f>
        <v>860000</v>
      </c>
      <c r="H258" s="187">
        <f>200000+200000</f>
        <v>400000</v>
      </c>
      <c r="I258" s="188">
        <f t="shared" si="16"/>
        <v>1260000</v>
      </c>
    </row>
    <row r="259" spans="1:9" s="189" customFormat="1">
      <c r="A259" s="186">
        <v>163</v>
      </c>
      <c r="B259" s="186">
        <v>5</v>
      </c>
      <c r="C259" s="135" t="s">
        <v>234</v>
      </c>
      <c r="D259" s="187">
        <v>120000</v>
      </c>
      <c r="E259" s="187">
        <f>0</f>
        <v>0</v>
      </c>
      <c r="F259" s="188">
        <f t="shared" si="15"/>
        <v>120000</v>
      </c>
      <c r="G259" s="187">
        <v>120000</v>
      </c>
      <c r="H259" s="187">
        <f>0</f>
        <v>0</v>
      </c>
      <c r="I259" s="188">
        <f t="shared" si="16"/>
        <v>120000</v>
      </c>
    </row>
    <row r="260" spans="1:9" s="189" customFormat="1">
      <c r="A260" s="186">
        <v>164</v>
      </c>
      <c r="B260" s="186">
        <v>6</v>
      </c>
      <c r="C260" s="136" t="s">
        <v>246</v>
      </c>
      <c r="D260" s="187">
        <v>200000</v>
      </c>
      <c r="E260" s="187">
        <f>0</f>
        <v>0</v>
      </c>
      <c r="F260" s="188">
        <f t="shared" si="15"/>
        <v>200000</v>
      </c>
      <c r="G260" s="187">
        <f>0</f>
        <v>0</v>
      </c>
      <c r="H260" s="187">
        <f>0</f>
        <v>0</v>
      </c>
      <c r="I260" s="188">
        <f t="shared" si="16"/>
        <v>0</v>
      </c>
    </row>
    <row r="261" spans="1:9" s="189" customFormat="1">
      <c r="A261" s="186">
        <v>165</v>
      </c>
      <c r="B261" s="186">
        <v>7</v>
      </c>
      <c r="C261" s="135" t="s">
        <v>349</v>
      </c>
      <c r="D261" s="187">
        <v>1000000</v>
      </c>
      <c r="E261" s="187">
        <f>0</f>
        <v>0</v>
      </c>
      <c r="F261" s="188">
        <f t="shared" si="15"/>
        <v>1000000</v>
      </c>
      <c r="G261" s="187">
        <f>0</f>
        <v>0</v>
      </c>
      <c r="H261" s="187">
        <f>0</f>
        <v>0</v>
      </c>
      <c r="I261" s="188">
        <f t="shared" si="16"/>
        <v>0</v>
      </c>
    </row>
    <row r="262" spans="1:9" s="189" customFormat="1">
      <c r="A262" s="186">
        <v>166</v>
      </c>
      <c r="B262" s="186">
        <v>8</v>
      </c>
      <c r="C262" s="135" t="s">
        <v>236</v>
      </c>
      <c r="D262" s="187">
        <v>350000</v>
      </c>
      <c r="E262" s="187">
        <f>0</f>
        <v>0</v>
      </c>
      <c r="F262" s="188">
        <f t="shared" si="15"/>
        <v>350000</v>
      </c>
      <c r="G262" s="187">
        <f>0</f>
        <v>0</v>
      </c>
      <c r="H262" s="187">
        <f>0</f>
        <v>0</v>
      </c>
      <c r="I262" s="188">
        <f t="shared" si="16"/>
        <v>0</v>
      </c>
    </row>
    <row r="263" spans="1:9" s="189" customFormat="1">
      <c r="A263" s="186">
        <v>167</v>
      </c>
      <c r="B263" s="186">
        <v>9</v>
      </c>
      <c r="C263" s="135" t="s">
        <v>350</v>
      </c>
      <c r="D263" s="187">
        <f>0</f>
        <v>0</v>
      </c>
      <c r="E263" s="187">
        <v>250000</v>
      </c>
      <c r="F263" s="188">
        <f t="shared" si="15"/>
        <v>250000</v>
      </c>
      <c r="G263" s="187">
        <f>0</f>
        <v>0</v>
      </c>
      <c r="H263" s="187">
        <v>250000</v>
      </c>
      <c r="I263" s="188">
        <f t="shared" si="16"/>
        <v>250000</v>
      </c>
    </row>
    <row r="264" spans="1:9" s="189" customFormat="1">
      <c r="A264" s="186">
        <v>168</v>
      </c>
      <c r="B264" s="186">
        <v>10</v>
      </c>
      <c r="C264" s="135" t="s">
        <v>376</v>
      </c>
      <c r="D264" s="187">
        <f>0</f>
        <v>0</v>
      </c>
      <c r="E264" s="187">
        <f>0</f>
        <v>0</v>
      </c>
      <c r="F264" s="188">
        <f t="shared" si="15"/>
        <v>0</v>
      </c>
      <c r="G264" s="187">
        <v>1500000</v>
      </c>
      <c r="H264" s="187">
        <f>0</f>
        <v>0</v>
      </c>
      <c r="I264" s="188">
        <f t="shared" si="16"/>
        <v>1500000</v>
      </c>
    </row>
    <row r="265" spans="1:9" s="189" customFormat="1">
      <c r="A265" s="186">
        <v>169</v>
      </c>
      <c r="B265" s="186">
        <v>11</v>
      </c>
      <c r="C265" s="135" t="s">
        <v>377</v>
      </c>
      <c r="D265" s="187">
        <f>0</f>
        <v>0</v>
      </c>
      <c r="E265" s="187">
        <f>0</f>
        <v>0</v>
      </c>
      <c r="F265" s="188">
        <f t="shared" si="15"/>
        <v>0</v>
      </c>
      <c r="G265" s="187">
        <f>0</f>
        <v>0</v>
      </c>
      <c r="H265" s="187">
        <v>210000</v>
      </c>
      <c r="I265" s="188">
        <f t="shared" si="16"/>
        <v>210000</v>
      </c>
    </row>
    <row r="266" spans="1:9" s="189" customFormat="1">
      <c r="A266" s="186">
        <v>170</v>
      </c>
      <c r="B266" s="186">
        <v>12</v>
      </c>
      <c r="C266" s="135" t="s">
        <v>378</v>
      </c>
      <c r="D266" s="187">
        <f>0</f>
        <v>0</v>
      </c>
      <c r="E266" s="187">
        <f>0</f>
        <v>0</v>
      </c>
      <c r="F266" s="188">
        <f t="shared" si="15"/>
        <v>0</v>
      </c>
      <c r="G266" s="187">
        <f>0</f>
        <v>0</v>
      </c>
      <c r="H266" s="187">
        <v>300000</v>
      </c>
      <c r="I266" s="188">
        <f t="shared" si="16"/>
        <v>300000</v>
      </c>
    </row>
    <row r="267" spans="1:9" s="189" customFormat="1">
      <c r="A267" s="186">
        <v>171</v>
      </c>
      <c r="B267" s="186">
        <v>13</v>
      </c>
      <c r="C267" s="135" t="s">
        <v>283</v>
      </c>
      <c r="D267" s="187">
        <f>0</f>
        <v>0</v>
      </c>
      <c r="E267" s="187">
        <f>0</f>
        <v>0</v>
      </c>
      <c r="F267" s="188">
        <f t="shared" si="15"/>
        <v>0</v>
      </c>
      <c r="G267" s="187">
        <v>625000</v>
      </c>
      <c r="H267" s="187">
        <f>0</f>
        <v>0</v>
      </c>
      <c r="I267" s="188">
        <f t="shared" si="16"/>
        <v>625000</v>
      </c>
    </row>
    <row r="268" spans="1:9" s="189" customFormat="1">
      <c r="A268" s="186">
        <v>172</v>
      </c>
      <c r="B268" s="186">
        <v>14</v>
      </c>
      <c r="C268" s="135" t="s">
        <v>235</v>
      </c>
      <c r="D268" s="187">
        <f>0</f>
        <v>0</v>
      </c>
      <c r="E268" s="187">
        <f>0</f>
        <v>0</v>
      </c>
      <c r="F268" s="188">
        <f t="shared" si="15"/>
        <v>0</v>
      </c>
      <c r="G268" s="187">
        <v>100000</v>
      </c>
      <c r="H268" s="187">
        <f>0</f>
        <v>0</v>
      </c>
      <c r="I268" s="188">
        <f t="shared" si="16"/>
        <v>100000</v>
      </c>
    </row>
    <row r="269" spans="1:9" s="189" customFormat="1">
      <c r="A269" s="186">
        <v>173</v>
      </c>
      <c r="B269" s="186">
        <v>15</v>
      </c>
      <c r="C269" s="135" t="s">
        <v>282</v>
      </c>
      <c r="D269" s="187">
        <f>0</f>
        <v>0</v>
      </c>
      <c r="E269" s="187">
        <f>0</f>
        <v>0</v>
      </c>
      <c r="F269" s="188">
        <f t="shared" si="15"/>
        <v>0</v>
      </c>
      <c r="G269" s="187">
        <v>70000</v>
      </c>
      <c r="H269" s="187">
        <f>0</f>
        <v>0</v>
      </c>
      <c r="I269" s="188">
        <f t="shared" si="16"/>
        <v>70000</v>
      </c>
    </row>
    <row r="270" spans="1:9" s="189" customFormat="1">
      <c r="A270" s="186">
        <v>174</v>
      </c>
      <c r="B270" s="186">
        <v>16</v>
      </c>
      <c r="C270" s="135" t="s">
        <v>252</v>
      </c>
      <c r="D270" s="187">
        <f>0</f>
        <v>0</v>
      </c>
      <c r="E270" s="187">
        <f>0</f>
        <v>0</v>
      </c>
      <c r="F270" s="188">
        <f t="shared" si="15"/>
        <v>0</v>
      </c>
      <c r="G270" s="187">
        <f>0</f>
        <v>0</v>
      </c>
      <c r="H270" s="187">
        <f>0</f>
        <v>0</v>
      </c>
      <c r="I270" s="188">
        <f t="shared" si="16"/>
        <v>0</v>
      </c>
    </row>
    <row r="271" spans="1:9" ht="15.75" thickBot="1">
      <c r="A271" s="137" t="s">
        <v>101</v>
      </c>
      <c r="B271" s="138"/>
      <c r="C271" s="139"/>
      <c r="D271" s="140">
        <f>SUM(D255:D270)</f>
        <v>3480000</v>
      </c>
      <c r="E271" s="140">
        <f>SUM(E255:E270)</f>
        <v>750000</v>
      </c>
      <c r="F271" s="140">
        <f>SUM(D271:E271)</f>
        <v>4230000</v>
      </c>
      <c r="G271" s="140">
        <f>SUM(G255:G270)</f>
        <v>3275000</v>
      </c>
      <c r="H271" s="140">
        <f>SUM(H255:H270)</f>
        <v>3620150</v>
      </c>
      <c r="I271" s="140">
        <f>SUM(G271:H271)</f>
        <v>6895150</v>
      </c>
    </row>
    <row r="272" spans="1:9" ht="16.5" thickTop="1" thickBot="1">
      <c r="A272" s="141" t="s">
        <v>253</v>
      </c>
      <c r="B272" s="142"/>
      <c r="C272" s="142"/>
      <c r="D272" s="143">
        <f>D271+D253+D250+D247+D192+D167+D145+D123+D120+D117+D111+D100+D84+D72</f>
        <v>131172620</v>
      </c>
      <c r="E272" s="143">
        <f>E271+E253+E250+E247+E192+E167+E145+E123+E120+E117+E111+E100+E84+E72</f>
        <v>44131049</v>
      </c>
      <c r="F272" s="143">
        <f>SUM(D272:E272)</f>
        <v>175303669</v>
      </c>
      <c r="G272" s="143">
        <f>G271+G253+G250+G247+G192+G167+G145+G123+G120+G117+G111+G100+G84+G72</f>
        <v>133405383</v>
      </c>
      <c r="H272" s="143">
        <f>H271+H253+H250+H247+H192+H167+H145+H123+H120+H117+H111+H100+H84+H72</f>
        <v>50618374</v>
      </c>
      <c r="I272" s="143">
        <f>SUM(G272:H272)</f>
        <v>184023757</v>
      </c>
    </row>
    <row r="273" spans="1:9" ht="15.75" thickTop="1">
      <c r="A273" s="144"/>
      <c r="B273" s="145"/>
      <c r="C273" s="145"/>
      <c r="D273" s="145"/>
      <c r="E273" s="145"/>
      <c r="F273" s="145"/>
      <c r="G273" s="145"/>
      <c r="H273" s="145"/>
      <c r="I273" s="145"/>
    </row>
    <row r="274" spans="1:9">
      <c r="A274" s="146" t="s">
        <v>254</v>
      </c>
      <c r="B274" s="146"/>
      <c r="C274" s="146"/>
      <c r="D274" s="146"/>
      <c r="E274" s="146"/>
      <c r="F274" s="146"/>
      <c r="G274" s="146"/>
      <c r="H274" s="146"/>
      <c r="I274" s="146"/>
    </row>
    <row r="275" spans="1:9">
      <c r="A275" s="144"/>
      <c r="B275" s="147" t="s">
        <v>379</v>
      </c>
      <c r="C275" s="147"/>
      <c r="D275" s="147"/>
      <c r="E275" s="147"/>
      <c r="F275" s="147"/>
      <c r="G275" s="147"/>
      <c r="H275" s="147"/>
      <c r="I275" s="147"/>
    </row>
    <row r="276" spans="1:9">
      <c r="A276" s="148" t="s">
        <v>256</v>
      </c>
      <c r="B276" s="149" t="s">
        <v>23</v>
      </c>
      <c r="C276" s="150" t="s">
        <v>24</v>
      </c>
      <c r="D276" s="151"/>
      <c r="E276" s="151"/>
      <c r="F276" s="151"/>
      <c r="G276" s="151"/>
      <c r="H276" s="152"/>
      <c r="I276" s="153" t="s">
        <v>101</v>
      </c>
    </row>
    <row r="277" spans="1:9">
      <c r="A277" s="144"/>
      <c r="B277" s="154"/>
      <c r="C277" s="155"/>
      <c r="D277" s="156"/>
      <c r="E277" s="156"/>
      <c r="F277" s="156"/>
      <c r="G277" s="156"/>
      <c r="H277" s="157"/>
      <c r="I277" s="153" t="s">
        <v>257</v>
      </c>
    </row>
    <row r="278" spans="1:9">
      <c r="A278" s="144"/>
      <c r="B278" s="158"/>
      <c r="C278" s="159" t="s">
        <v>258</v>
      </c>
      <c r="D278" s="160"/>
      <c r="E278" s="160"/>
      <c r="F278" s="160"/>
      <c r="G278" s="160"/>
      <c r="H278" s="161"/>
      <c r="I278" s="162"/>
    </row>
    <row r="279" spans="1:9">
      <c r="A279" s="144"/>
      <c r="B279" s="163">
        <v>1</v>
      </c>
      <c r="C279" s="190" t="s">
        <v>380</v>
      </c>
      <c r="D279" s="191"/>
      <c r="E279" s="191"/>
      <c r="F279" s="191"/>
      <c r="G279" s="191"/>
      <c r="H279" s="192"/>
      <c r="I279" s="167">
        <v>6260000</v>
      </c>
    </row>
    <row r="280" spans="1:9">
      <c r="A280" s="144"/>
      <c r="B280" s="163">
        <v>2</v>
      </c>
      <c r="C280" s="190" t="s">
        <v>381</v>
      </c>
      <c r="D280" s="191"/>
      <c r="E280" s="191"/>
      <c r="F280" s="191"/>
      <c r="G280" s="191"/>
      <c r="H280" s="192"/>
      <c r="I280" s="167">
        <v>10000000</v>
      </c>
    </row>
    <row r="281" spans="1:9">
      <c r="A281" s="144"/>
      <c r="B281" s="163">
        <v>3</v>
      </c>
      <c r="C281" s="190" t="s">
        <v>382</v>
      </c>
      <c r="D281" s="191"/>
      <c r="E281" s="191"/>
      <c r="F281" s="191"/>
      <c r="G281" s="191"/>
      <c r="H281" s="192"/>
      <c r="I281" s="167">
        <v>1000000</v>
      </c>
    </row>
    <row r="282" spans="1:9">
      <c r="A282" s="144"/>
      <c r="B282" s="163">
        <v>4</v>
      </c>
      <c r="C282" s="200" t="s">
        <v>383</v>
      </c>
      <c r="D282" s="165"/>
      <c r="E282" s="165"/>
      <c r="F282" s="165"/>
      <c r="G282" s="165"/>
      <c r="H282" s="166"/>
      <c r="I282" s="167">
        <v>650000</v>
      </c>
    </row>
    <row r="283" spans="1:9">
      <c r="A283" s="144"/>
      <c r="B283" s="163">
        <v>5</v>
      </c>
      <c r="C283" s="205" t="s">
        <v>384</v>
      </c>
      <c r="D283" s="165"/>
      <c r="E283" s="165"/>
      <c r="F283" s="165"/>
      <c r="G283" s="165"/>
      <c r="H283" s="166"/>
      <c r="I283" s="167">
        <f>49700000-2500000</f>
        <v>47200000</v>
      </c>
    </row>
    <row r="284" spans="1:9">
      <c r="A284" s="144"/>
      <c r="B284" s="163">
        <v>6</v>
      </c>
      <c r="C284" s="205" t="s">
        <v>385</v>
      </c>
      <c r="D284" s="165"/>
      <c r="E284" s="165"/>
      <c r="F284" s="165"/>
      <c r="G284" s="165"/>
      <c r="H284" s="166"/>
      <c r="I284" s="167">
        <f>39000000-3000000</f>
        <v>36000000</v>
      </c>
    </row>
    <row r="285" spans="1:9">
      <c r="A285" s="144"/>
      <c r="B285" s="163">
        <v>7</v>
      </c>
      <c r="C285" s="205" t="s">
        <v>386</v>
      </c>
      <c r="D285" s="165"/>
      <c r="E285" s="165"/>
      <c r="F285" s="165"/>
      <c r="G285" s="165"/>
      <c r="H285" s="166"/>
      <c r="I285" s="167">
        <v>1216000</v>
      </c>
    </row>
    <row r="286" spans="1:9">
      <c r="A286" s="144"/>
      <c r="B286" s="163">
        <v>8</v>
      </c>
      <c r="C286" s="176" t="s">
        <v>387</v>
      </c>
      <c r="D286" s="165"/>
      <c r="E286" s="165"/>
      <c r="F286" s="165"/>
      <c r="G286" s="165"/>
      <c r="H286" s="166"/>
      <c r="I286" s="167">
        <v>12500000</v>
      </c>
    </row>
    <row r="287" spans="1:9">
      <c r="A287" s="144"/>
      <c r="B287" s="163">
        <v>9</v>
      </c>
      <c r="C287" s="206" t="s">
        <v>388</v>
      </c>
      <c r="D287" s="165"/>
      <c r="E287" s="165"/>
      <c r="F287" s="165"/>
      <c r="G287" s="165"/>
      <c r="H287" s="166"/>
      <c r="I287" s="167">
        <f>1700000+600000</f>
        <v>2300000</v>
      </c>
    </row>
    <row r="288" spans="1:9">
      <c r="A288" s="168"/>
      <c r="B288" s="169" t="s">
        <v>58</v>
      </c>
      <c r="C288" s="170"/>
      <c r="D288" s="170"/>
      <c r="E288" s="170"/>
      <c r="F288" s="170"/>
      <c r="G288" s="170"/>
      <c r="H288" s="171"/>
      <c r="I288" s="172">
        <f>SUM(I279:I287)</f>
        <v>117126000</v>
      </c>
    </row>
    <row r="289" spans="1:9">
      <c r="A289" s="145"/>
      <c r="B289" s="145"/>
      <c r="C289" s="145"/>
      <c r="D289" s="145"/>
      <c r="E289" s="145"/>
      <c r="F289" s="145"/>
      <c r="G289" s="145"/>
      <c r="H289" s="145"/>
      <c r="I289" s="145"/>
    </row>
    <row r="290" spans="1:9">
      <c r="A290" s="148" t="s">
        <v>260</v>
      </c>
      <c r="B290" s="149" t="s">
        <v>23</v>
      </c>
      <c r="C290" s="150" t="s">
        <v>24</v>
      </c>
      <c r="D290" s="151"/>
      <c r="E290" s="151"/>
      <c r="F290" s="151"/>
      <c r="G290" s="151"/>
      <c r="H290" s="152"/>
      <c r="I290" s="153" t="s">
        <v>101</v>
      </c>
    </row>
    <row r="291" spans="1:9">
      <c r="A291" s="145"/>
      <c r="B291" s="154"/>
      <c r="C291" s="155"/>
      <c r="D291" s="156"/>
      <c r="E291" s="156"/>
      <c r="F291" s="156"/>
      <c r="G291" s="156"/>
      <c r="H291" s="157"/>
      <c r="I291" s="153" t="s">
        <v>257</v>
      </c>
    </row>
    <row r="292" spans="1:9">
      <c r="A292" s="145"/>
      <c r="B292" s="158"/>
      <c r="C292" s="159" t="s">
        <v>261</v>
      </c>
      <c r="D292" s="160"/>
      <c r="E292" s="160"/>
      <c r="F292" s="160"/>
      <c r="G292" s="160"/>
      <c r="H292" s="161"/>
      <c r="I292" s="173"/>
    </row>
    <row r="293" spans="1:9">
      <c r="A293" s="145"/>
      <c r="B293" s="163">
        <v>1</v>
      </c>
      <c r="C293" s="174" t="s">
        <v>389</v>
      </c>
      <c r="D293" s="175"/>
      <c r="E293" s="175"/>
      <c r="F293" s="175"/>
      <c r="G293" s="175"/>
      <c r="H293" s="175"/>
      <c r="I293" s="173">
        <v>1808400</v>
      </c>
    </row>
    <row r="294" spans="1:9">
      <c r="A294" s="145"/>
      <c r="B294" s="163">
        <v>2</v>
      </c>
      <c r="C294" s="174" t="s">
        <v>390</v>
      </c>
      <c r="D294" s="177"/>
      <c r="E294" s="177"/>
      <c r="F294" s="177"/>
      <c r="G294" s="177"/>
      <c r="H294" s="177"/>
      <c r="I294" s="173">
        <v>1623869</v>
      </c>
    </row>
    <row r="295" spans="1:9">
      <c r="A295" s="145"/>
      <c r="B295" s="163">
        <v>3</v>
      </c>
      <c r="C295" s="174" t="s">
        <v>325</v>
      </c>
      <c r="D295" s="177"/>
      <c r="E295" s="177"/>
      <c r="F295" s="177"/>
      <c r="G295" s="177"/>
      <c r="H295" s="177"/>
      <c r="I295" s="173">
        <v>380000</v>
      </c>
    </row>
    <row r="296" spans="1:9">
      <c r="A296" s="145"/>
      <c r="B296" s="163">
        <v>4</v>
      </c>
      <c r="C296" s="174" t="s">
        <v>391</v>
      </c>
      <c r="D296" s="177"/>
      <c r="E296" s="177"/>
      <c r="F296" s="177"/>
      <c r="G296" s="177"/>
      <c r="H296" s="177"/>
      <c r="I296" s="173"/>
    </row>
    <row r="297" spans="1:9">
      <c r="A297" s="145"/>
      <c r="B297" s="163"/>
      <c r="C297" s="174" t="s">
        <v>392</v>
      </c>
      <c r="D297" s="177"/>
      <c r="E297" s="177"/>
      <c r="F297" s="177"/>
      <c r="G297" s="177"/>
      <c r="H297" s="177"/>
      <c r="I297" s="173">
        <v>800000</v>
      </c>
    </row>
    <row r="298" spans="1:9">
      <c r="A298" s="145"/>
      <c r="B298" s="163"/>
      <c r="C298" s="174" t="s">
        <v>393</v>
      </c>
      <c r="D298" s="177"/>
      <c r="E298" s="177"/>
      <c r="F298" s="177"/>
      <c r="G298" s="177"/>
      <c r="H298" s="177"/>
      <c r="I298" s="173"/>
    </row>
    <row r="299" spans="1:9">
      <c r="A299" s="145"/>
      <c r="B299" s="163"/>
      <c r="C299" s="174" t="s">
        <v>394</v>
      </c>
      <c r="D299" s="177"/>
      <c r="E299" s="177"/>
      <c r="F299" s="177"/>
      <c r="G299" s="177"/>
      <c r="H299" s="177"/>
      <c r="I299" s="173">
        <v>2130000</v>
      </c>
    </row>
    <row r="300" spans="1:9">
      <c r="A300" s="145"/>
      <c r="B300" s="163"/>
      <c r="C300" s="174" t="s">
        <v>395</v>
      </c>
      <c r="D300" s="177"/>
      <c r="E300" s="177"/>
      <c r="F300" s="177"/>
      <c r="G300" s="177"/>
      <c r="H300" s="177"/>
      <c r="I300" s="173"/>
    </row>
    <row r="301" spans="1:9">
      <c r="A301" s="145"/>
      <c r="B301" s="163"/>
      <c r="C301" s="174" t="s">
        <v>396</v>
      </c>
      <c r="D301" s="177"/>
      <c r="E301" s="177"/>
      <c r="F301" s="177"/>
      <c r="G301" s="177"/>
      <c r="H301" s="177"/>
      <c r="I301" s="173">
        <v>500000</v>
      </c>
    </row>
    <row r="302" spans="1:9">
      <c r="A302" s="145"/>
      <c r="B302" s="163"/>
      <c r="C302" s="174" t="s">
        <v>397</v>
      </c>
      <c r="D302" s="177"/>
      <c r="E302" s="177"/>
      <c r="F302" s="177"/>
      <c r="G302" s="177"/>
      <c r="H302" s="177"/>
      <c r="I302" s="173">
        <v>2251500</v>
      </c>
    </row>
    <row r="303" spans="1:9">
      <c r="A303" s="145"/>
      <c r="B303" s="163"/>
      <c r="C303" s="174" t="s">
        <v>398</v>
      </c>
      <c r="D303" s="177"/>
      <c r="E303" s="177"/>
      <c r="F303" s="177"/>
      <c r="G303" s="177"/>
      <c r="H303" s="177"/>
      <c r="I303" s="173">
        <v>650000</v>
      </c>
    </row>
    <row r="304" spans="1:9">
      <c r="A304" s="145"/>
      <c r="B304" s="163"/>
      <c r="C304" s="174" t="s">
        <v>399</v>
      </c>
      <c r="D304" s="177"/>
      <c r="E304" s="177"/>
      <c r="F304" s="177"/>
      <c r="G304" s="177"/>
      <c r="H304" s="177"/>
      <c r="I304" s="173">
        <v>400000</v>
      </c>
    </row>
    <row r="305" spans="1:9">
      <c r="A305" s="145"/>
      <c r="B305" s="163"/>
      <c r="C305" s="174" t="s">
        <v>400</v>
      </c>
      <c r="D305" s="177"/>
      <c r="E305" s="177"/>
      <c r="F305" s="177"/>
      <c r="G305" s="177"/>
      <c r="H305" s="177"/>
      <c r="I305" s="173"/>
    </row>
    <row r="306" spans="1:9">
      <c r="A306" s="145"/>
      <c r="B306" s="163"/>
      <c r="C306" s="174" t="s">
        <v>401</v>
      </c>
      <c r="D306" s="177"/>
      <c r="E306" s="177"/>
      <c r="F306" s="177"/>
      <c r="G306" s="177"/>
      <c r="H306" s="177"/>
      <c r="I306" s="173">
        <v>300000</v>
      </c>
    </row>
    <row r="307" spans="1:9">
      <c r="A307" s="145"/>
      <c r="B307" s="163">
        <v>5</v>
      </c>
      <c r="C307" s="174" t="s">
        <v>402</v>
      </c>
      <c r="D307" s="177"/>
      <c r="E307" s="177"/>
      <c r="F307" s="177"/>
      <c r="G307" s="177"/>
      <c r="H307" s="177"/>
      <c r="I307" s="173"/>
    </row>
    <row r="308" spans="1:9">
      <c r="A308" s="145"/>
      <c r="B308" s="163"/>
      <c r="C308" s="174" t="s">
        <v>403</v>
      </c>
      <c r="D308" s="177"/>
      <c r="E308" s="177"/>
      <c r="F308" s="177"/>
      <c r="G308" s="177"/>
      <c r="H308" s="177"/>
      <c r="I308" s="173">
        <v>1500000</v>
      </c>
    </row>
    <row r="309" spans="1:9">
      <c r="A309" s="145"/>
      <c r="B309" s="163"/>
      <c r="C309" s="174" t="s">
        <v>404</v>
      </c>
      <c r="D309" s="177"/>
      <c r="E309" s="177"/>
      <c r="F309" s="177"/>
      <c r="G309" s="177"/>
      <c r="H309" s="177"/>
      <c r="I309" s="173">
        <v>500000</v>
      </c>
    </row>
    <row r="310" spans="1:9">
      <c r="A310" s="145"/>
      <c r="B310" s="163"/>
      <c r="C310" s="174" t="s">
        <v>405</v>
      </c>
      <c r="D310" s="177"/>
      <c r="E310" s="177"/>
      <c r="F310" s="177"/>
      <c r="G310" s="177"/>
      <c r="H310" s="177"/>
      <c r="I310" s="173">
        <v>1000000</v>
      </c>
    </row>
    <row r="311" spans="1:9">
      <c r="A311" s="145"/>
      <c r="B311" s="163"/>
      <c r="C311" s="174" t="s">
        <v>406</v>
      </c>
      <c r="D311" s="177"/>
      <c r="E311" s="177"/>
      <c r="F311" s="177"/>
      <c r="G311" s="177"/>
      <c r="H311" s="177"/>
      <c r="I311" s="173">
        <v>1000000</v>
      </c>
    </row>
    <row r="312" spans="1:9">
      <c r="A312" s="145"/>
      <c r="B312" s="163"/>
      <c r="C312" s="174" t="s">
        <v>407</v>
      </c>
      <c r="D312" s="177"/>
      <c r="E312" s="177"/>
      <c r="F312" s="177"/>
      <c r="G312" s="177"/>
      <c r="H312" s="177"/>
      <c r="I312" s="173"/>
    </row>
    <row r="313" spans="1:9">
      <c r="A313" s="145"/>
      <c r="B313" s="163"/>
      <c r="C313" s="174" t="s">
        <v>408</v>
      </c>
      <c r="D313" s="177"/>
      <c r="E313" s="177"/>
      <c r="F313" s="177"/>
      <c r="G313" s="177"/>
      <c r="H313" s="177"/>
      <c r="I313" s="173">
        <v>2677000</v>
      </c>
    </row>
    <row r="314" spans="1:9">
      <c r="A314" s="145"/>
      <c r="B314" s="163">
        <v>6</v>
      </c>
      <c r="C314" s="176" t="s">
        <v>409</v>
      </c>
      <c r="D314" s="177"/>
      <c r="E314" s="177"/>
      <c r="F314" s="177"/>
      <c r="G314" s="177"/>
      <c r="H314" s="177"/>
      <c r="I314" s="173">
        <v>166400</v>
      </c>
    </row>
    <row r="315" spans="1:9">
      <c r="A315" s="145"/>
      <c r="B315" s="163">
        <v>7</v>
      </c>
      <c r="C315" s="176" t="s">
        <v>410</v>
      </c>
      <c r="D315" s="177"/>
      <c r="E315" s="177"/>
      <c r="F315" s="177"/>
      <c r="G315" s="177"/>
      <c r="H315" s="177"/>
      <c r="I315" s="173">
        <v>341000</v>
      </c>
    </row>
    <row r="316" spans="1:9">
      <c r="A316" s="145"/>
      <c r="B316" s="163">
        <v>8</v>
      </c>
      <c r="C316" s="176" t="s">
        <v>411</v>
      </c>
      <c r="D316" s="177"/>
      <c r="E316" s="177"/>
      <c r="F316" s="177"/>
      <c r="G316" s="177"/>
      <c r="H316" s="177"/>
      <c r="I316" s="173"/>
    </row>
    <row r="317" spans="1:9">
      <c r="A317" s="145"/>
      <c r="B317" s="163"/>
      <c r="C317" s="176" t="s">
        <v>412</v>
      </c>
      <c r="D317" s="177"/>
      <c r="E317" s="177"/>
      <c r="F317" s="177"/>
      <c r="G317" s="177"/>
      <c r="H317" s="177"/>
      <c r="I317" s="173">
        <f>1200000+4040000</f>
        <v>5240000</v>
      </c>
    </row>
    <row r="318" spans="1:9">
      <c r="A318" s="145"/>
      <c r="B318" s="163"/>
      <c r="C318" s="176" t="s">
        <v>413</v>
      </c>
      <c r="D318" s="177"/>
      <c r="E318" s="177"/>
      <c r="F318" s="177"/>
      <c r="G318" s="177"/>
      <c r="H318" s="177"/>
      <c r="I318" s="173">
        <v>850000</v>
      </c>
    </row>
    <row r="319" spans="1:9">
      <c r="A319" s="145"/>
      <c r="B319" s="163">
        <v>9</v>
      </c>
      <c r="C319" s="176" t="s">
        <v>414</v>
      </c>
      <c r="D319" s="177"/>
      <c r="E319" s="177"/>
      <c r="F319" s="177"/>
      <c r="G319" s="177"/>
      <c r="H319" s="177"/>
      <c r="I319" s="173">
        <v>1137550</v>
      </c>
    </row>
    <row r="320" spans="1:9">
      <c r="A320" s="145"/>
      <c r="B320" s="163"/>
      <c r="C320" s="176" t="s">
        <v>415</v>
      </c>
      <c r="D320" s="177"/>
      <c r="E320" s="177"/>
      <c r="F320" s="177"/>
      <c r="G320" s="177"/>
      <c r="H320" s="177"/>
      <c r="I320" s="173"/>
    </row>
    <row r="321" spans="1:9">
      <c r="A321" s="145"/>
      <c r="B321" s="163">
        <v>10</v>
      </c>
      <c r="C321" s="176" t="s">
        <v>259</v>
      </c>
      <c r="D321" s="177"/>
      <c r="E321" s="177"/>
      <c r="F321" s="177"/>
      <c r="G321" s="177"/>
      <c r="H321" s="177"/>
      <c r="I321" s="173">
        <f>H256</f>
        <v>2460150</v>
      </c>
    </row>
    <row r="322" spans="1:9">
      <c r="A322" s="168"/>
      <c r="B322" s="178" t="s">
        <v>58</v>
      </c>
      <c r="C322" s="179"/>
      <c r="D322" s="179"/>
      <c r="E322" s="179"/>
      <c r="F322" s="179"/>
      <c r="G322" s="179"/>
      <c r="H322" s="179"/>
      <c r="I322" s="172">
        <f>SUM(I293:I321)</f>
        <v>27715869</v>
      </c>
    </row>
    <row r="323" spans="1:9">
      <c r="A323" s="144"/>
      <c r="B323" s="144"/>
      <c r="C323" s="144"/>
      <c r="D323" s="180"/>
      <c r="G323" s="180" t="s">
        <v>416</v>
      </c>
      <c r="H323" s="180"/>
    </row>
    <row r="324" spans="1:9">
      <c r="A324" s="144"/>
      <c r="B324" s="144"/>
      <c r="C324" s="180" t="s">
        <v>42</v>
      </c>
      <c r="D324" s="181"/>
      <c r="G324" s="180" t="s">
        <v>267</v>
      </c>
      <c r="H324" s="180"/>
    </row>
    <row r="325" spans="1:9">
      <c r="A325" s="144"/>
      <c r="B325" s="144"/>
      <c r="C325" s="144"/>
      <c r="D325" s="182"/>
      <c r="G325" s="144"/>
      <c r="H325" s="144"/>
    </row>
    <row r="326" spans="1:9">
      <c r="A326" s="144"/>
      <c r="B326" s="183"/>
      <c r="C326" s="184" t="s">
        <v>344</v>
      </c>
      <c r="D326" s="184"/>
      <c r="E326" s="193"/>
      <c r="F326" s="193"/>
      <c r="G326" s="184" t="s">
        <v>344</v>
      </c>
      <c r="H326" s="144"/>
    </row>
    <row r="327" spans="1:9">
      <c r="A327" s="144"/>
      <c r="B327" s="183"/>
      <c r="C327" s="180" t="s">
        <v>268</v>
      </c>
      <c r="D327" s="144"/>
      <c r="G327" s="180" t="s">
        <v>269</v>
      </c>
      <c r="H327" s="185"/>
    </row>
  </sheetData>
  <mergeCells count="60">
    <mergeCell ref="C292:H292"/>
    <mergeCell ref="B322:H322"/>
    <mergeCell ref="B275:I275"/>
    <mergeCell ref="B276:B277"/>
    <mergeCell ref="C276:H277"/>
    <mergeCell ref="C278:H278"/>
    <mergeCell ref="B288:H288"/>
    <mergeCell ref="B290:B291"/>
    <mergeCell ref="C290:H291"/>
    <mergeCell ref="A251:I251"/>
    <mergeCell ref="A253:C253"/>
    <mergeCell ref="A254:I254"/>
    <mergeCell ref="A271:C271"/>
    <mergeCell ref="A272:C272"/>
    <mergeCell ref="A274:I274"/>
    <mergeCell ref="A168:I168"/>
    <mergeCell ref="A192:C192"/>
    <mergeCell ref="A193:I193"/>
    <mergeCell ref="A247:C247"/>
    <mergeCell ref="A248:I248"/>
    <mergeCell ref="A250:C250"/>
    <mergeCell ref="A121:I121"/>
    <mergeCell ref="A123:C123"/>
    <mergeCell ref="A124:I124"/>
    <mergeCell ref="A145:C145"/>
    <mergeCell ref="A146:I146"/>
    <mergeCell ref="A167:C167"/>
    <mergeCell ref="A101:I101"/>
    <mergeCell ref="A111:C111"/>
    <mergeCell ref="A112:I112"/>
    <mergeCell ref="A117:C117"/>
    <mergeCell ref="A118:I118"/>
    <mergeCell ref="A120:C120"/>
    <mergeCell ref="A70:I70"/>
    <mergeCell ref="A72:C72"/>
    <mergeCell ref="A73:I73"/>
    <mergeCell ref="A84:C84"/>
    <mergeCell ref="A85:I85"/>
    <mergeCell ref="A100:C100"/>
    <mergeCell ref="A65:I65"/>
    <mergeCell ref="A67:A69"/>
    <mergeCell ref="B67:C69"/>
    <mergeCell ref="D67:E67"/>
    <mergeCell ref="F67:F69"/>
    <mergeCell ref="G67:H67"/>
    <mergeCell ref="I67:I69"/>
    <mergeCell ref="D68:E68"/>
    <mergeCell ref="G68:H68"/>
    <mergeCell ref="A8:B8"/>
    <mergeCell ref="A9:B9"/>
    <mergeCell ref="A10:B10"/>
    <mergeCell ref="E23:F23"/>
    <mergeCell ref="A63:I63"/>
    <mergeCell ref="A64:I64"/>
    <mergeCell ref="A1:F1"/>
    <mergeCell ref="A2:F2"/>
    <mergeCell ref="A3:F3"/>
    <mergeCell ref="A4:F4"/>
    <mergeCell ref="A5:F5"/>
    <mergeCell ref="E7:F7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7"/>
  <sheetViews>
    <sheetView topLeftCell="A26" workbookViewId="0">
      <selection activeCell="A256" sqref="A256:XFD284"/>
    </sheetView>
  </sheetViews>
  <sheetFormatPr defaultColWidth="5.42578125" defaultRowHeight="15"/>
  <cols>
    <col min="3" max="3" width="30.28515625" customWidth="1"/>
    <col min="4" max="4" width="18.7109375" customWidth="1"/>
    <col min="5" max="5" width="21.140625" customWidth="1"/>
    <col min="6" max="6" width="18.7109375" customWidth="1"/>
    <col min="7" max="8" width="13.7109375" customWidth="1"/>
    <col min="9" max="9" width="14.85546875" customWidth="1"/>
  </cols>
  <sheetData>
    <row r="1" spans="1:6" ht="30">
      <c r="A1" s="207" t="s">
        <v>0</v>
      </c>
      <c r="B1" s="207"/>
      <c r="C1" s="207"/>
      <c r="D1" s="207"/>
      <c r="E1" s="207"/>
      <c r="F1" s="207"/>
    </row>
    <row r="2" spans="1:6" ht="30">
      <c r="A2" s="208" t="s">
        <v>1</v>
      </c>
      <c r="B2" s="208"/>
      <c r="C2" s="208"/>
      <c r="D2" s="208"/>
      <c r="E2" s="208"/>
      <c r="F2" s="208"/>
    </row>
    <row r="3" spans="1:6" ht="30">
      <c r="A3" s="208" t="s">
        <v>2</v>
      </c>
      <c r="B3" s="208"/>
      <c r="C3" s="208"/>
      <c r="D3" s="208"/>
      <c r="E3" s="208"/>
      <c r="F3" s="208"/>
    </row>
    <row r="4" spans="1:6">
      <c r="A4" s="3" t="s">
        <v>3</v>
      </c>
      <c r="B4" s="3"/>
      <c r="C4" s="3"/>
      <c r="D4" s="3"/>
      <c r="E4" s="3"/>
      <c r="F4" s="3"/>
    </row>
    <row r="5" spans="1:6" ht="15.75" thickBot="1">
      <c r="A5" s="209" t="s">
        <v>4</v>
      </c>
      <c r="B5" s="209"/>
      <c r="C5" s="209"/>
      <c r="D5" s="209"/>
      <c r="E5" s="209"/>
      <c r="F5" s="209"/>
    </row>
    <row r="6" spans="1:6" ht="15.75" thickTop="1">
      <c r="A6" s="5"/>
      <c r="B6" s="5"/>
      <c r="C6" s="5"/>
      <c r="D6" s="5"/>
      <c r="E6" s="5"/>
      <c r="F6" s="5"/>
    </row>
    <row r="7" spans="1:6" s="210" customFormat="1" ht="18.75">
      <c r="A7" s="6"/>
      <c r="B7" s="6"/>
      <c r="C7" s="6"/>
      <c r="D7" s="6"/>
      <c r="E7" s="7" t="s">
        <v>417</v>
      </c>
      <c r="F7" s="7"/>
    </row>
    <row r="8" spans="1:6" ht="18.75">
      <c r="A8" s="8" t="s">
        <v>6</v>
      </c>
      <c r="B8" s="8"/>
      <c r="C8" s="9" t="s">
        <v>418</v>
      </c>
      <c r="D8" s="10"/>
      <c r="E8" s="9"/>
      <c r="F8" s="10"/>
    </row>
    <row r="9" spans="1:6" ht="18.75">
      <c r="A9" s="8" t="s">
        <v>8</v>
      </c>
      <c r="B9" s="8"/>
      <c r="C9" s="9" t="s">
        <v>9</v>
      </c>
      <c r="D9" s="10"/>
      <c r="E9" s="9"/>
      <c r="F9" s="9"/>
    </row>
    <row r="10" spans="1:6" ht="18.75">
      <c r="A10" s="8" t="s">
        <v>10</v>
      </c>
      <c r="B10" s="8"/>
      <c r="C10" s="9" t="s">
        <v>11</v>
      </c>
      <c r="D10" s="10"/>
      <c r="E10" s="9"/>
      <c r="F10" s="9"/>
    </row>
    <row r="11" spans="1:6" ht="18.75">
      <c r="A11" s="9"/>
      <c r="B11" s="9"/>
      <c r="C11" s="9"/>
      <c r="D11" s="9"/>
      <c r="E11" s="9"/>
      <c r="F11" s="9"/>
    </row>
    <row r="12" spans="1:6" ht="18.75">
      <c r="A12" s="9"/>
      <c r="B12" s="9" t="s">
        <v>12</v>
      </c>
      <c r="C12" s="10"/>
      <c r="D12" s="10"/>
      <c r="E12" s="9"/>
      <c r="F12" s="9"/>
    </row>
    <row r="13" spans="1:6" ht="18.75">
      <c r="A13" s="9"/>
      <c r="B13" s="9" t="s">
        <v>13</v>
      </c>
      <c r="C13" s="10"/>
      <c r="D13" s="10"/>
      <c r="E13" s="9"/>
      <c r="F13" s="9"/>
    </row>
    <row r="14" spans="1:6" ht="18.75">
      <c r="A14" s="9"/>
      <c r="B14" s="9" t="s">
        <v>14</v>
      </c>
      <c r="C14" s="10"/>
      <c r="D14" s="10"/>
      <c r="E14" s="9"/>
      <c r="F14" s="9"/>
    </row>
    <row r="15" spans="1:6" ht="18.75">
      <c r="A15" s="9"/>
      <c r="B15" s="9" t="s">
        <v>15</v>
      </c>
      <c r="C15" s="10"/>
      <c r="D15" s="10"/>
      <c r="E15" s="9"/>
      <c r="F15" s="9"/>
    </row>
    <row r="16" spans="1:6" ht="18.75">
      <c r="A16" s="9"/>
      <c r="B16" s="9" t="s">
        <v>16</v>
      </c>
      <c r="C16" s="10"/>
      <c r="D16" s="10"/>
      <c r="E16" s="9"/>
      <c r="F16" s="9"/>
    </row>
    <row r="17" spans="1:6" ht="18.75">
      <c r="A17" s="9"/>
      <c r="B17" s="9" t="s">
        <v>17</v>
      </c>
      <c r="C17" s="9"/>
      <c r="D17" s="10"/>
      <c r="E17" s="9"/>
      <c r="F17" s="10"/>
    </row>
    <row r="18" spans="1:6" ht="18.75">
      <c r="A18" s="9"/>
      <c r="B18" s="9" t="s">
        <v>18</v>
      </c>
      <c r="C18" s="9"/>
      <c r="D18" s="10"/>
      <c r="E18" s="9"/>
      <c r="F18" s="9"/>
    </row>
    <row r="19" spans="1:6" ht="18.75">
      <c r="A19" s="9"/>
      <c r="B19" s="10"/>
      <c r="C19" s="9"/>
      <c r="D19" s="9"/>
      <c r="E19" s="9"/>
      <c r="F19" s="9"/>
    </row>
    <row r="20" spans="1:6" ht="19.5">
      <c r="A20" s="9"/>
      <c r="B20" s="11" t="s">
        <v>19</v>
      </c>
      <c r="C20" s="12"/>
      <c r="D20" s="12"/>
      <c r="E20" s="9"/>
      <c r="F20" s="10"/>
    </row>
    <row r="21" spans="1:6" ht="18.75">
      <c r="A21" s="13"/>
      <c r="B21" s="13" t="s">
        <v>20</v>
      </c>
      <c r="C21" s="13"/>
      <c r="D21" s="13"/>
      <c r="E21" s="13"/>
      <c r="F21" s="10"/>
    </row>
    <row r="22" spans="1:6" ht="18.75">
      <c r="A22" s="13"/>
      <c r="B22" s="13" t="s">
        <v>419</v>
      </c>
      <c r="C22" s="13"/>
      <c r="D22" s="13"/>
      <c r="E22" s="13"/>
      <c r="F22" s="10"/>
    </row>
    <row r="23" spans="1:6" ht="15.75">
      <c r="A23" s="14"/>
      <c r="B23" s="14"/>
      <c r="C23" s="14"/>
      <c r="D23" s="14"/>
      <c r="E23" s="15" t="s">
        <v>22</v>
      </c>
      <c r="F23" s="15"/>
    </row>
    <row r="24" spans="1:6" ht="18.75">
      <c r="A24" s="14"/>
      <c r="B24" s="16" t="s">
        <v>23</v>
      </c>
      <c r="C24" s="16" t="s">
        <v>24</v>
      </c>
      <c r="D24" s="17" t="s">
        <v>25</v>
      </c>
      <c r="E24" s="17" t="s">
        <v>26</v>
      </c>
      <c r="F24" s="17" t="s">
        <v>27</v>
      </c>
    </row>
    <row r="25" spans="1:6" ht="18.75">
      <c r="A25" s="14"/>
      <c r="B25" s="18"/>
      <c r="C25" s="18"/>
      <c r="D25" s="19"/>
      <c r="E25" s="19"/>
      <c r="F25" s="19"/>
    </row>
    <row r="26" spans="1:6" ht="15.75">
      <c r="A26" s="14"/>
      <c r="B26" s="20">
        <v>1</v>
      </c>
      <c r="C26" s="21" t="s">
        <v>28</v>
      </c>
      <c r="D26" s="22"/>
      <c r="E26" s="22"/>
      <c r="F26" s="23"/>
    </row>
    <row r="27" spans="1:6" ht="15.75">
      <c r="A27" s="14"/>
      <c r="B27" s="20"/>
      <c r="C27" s="21" t="s">
        <v>29</v>
      </c>
      <c r="D27" s="22"/>
      <c r="E27" s="22"/>
      <c r="F27" s="23"/>
    </row>
    <row r="28" spans="1:6" ht="15.75">
      <c r="A28" s="14"/>
      <c r="B28" s="24"/>
      <c r="C28" s="25" t="s">
        <v>420</v>
      </c>
      <c r="D28" s="26"/>
      <c r="E28" s="26"/>
      <c r="F28" s="26">
        <f>[7]MEI!F28</f>
        <v>1432551140</v>
      </c>
    </row>
    <row r="29" spans="1:6" ht="15.75">
      <c r="A29" s="14"/>
      <c r="B29" s="24"/>
      <c r="C29" s="25" t="s">
        <v>421</v>
      </c>
      <c r="D29" s="27">
        <f>163700344</f>
        <v>163700344</v>
      </c>
      <c r="E29" s="28"/>
      <c r="F29" s="26"/>
    </row>
    <row r="30" spans="1:6" ht="15.75">
      <c r="A30" s="14"/>
      <c r="B30" s="24"/>
      <c r="C30" s="25" t="s">
        <v>422</v>
      </c>
      <c r="D30" s="26"/>
      <c r="E30" s="29">
        <f>266187000</f>
        <v>266187000</v>
      </c>
      <c r="F30" s="26"/>
    </row>
    <row r="31" spans="1:6" ht="15.75">
      <c r="A31" s="14"/>
      <c r="B31" s="24"/>
      <c r="C31" s="30" t="s">
        <v>33</v>
      </c>
      <c r="D31" s="26"/>
      <c r="E31" s="29"/>
      <c r="F31" s="31">
        <f>F28+D29-E30</f>
        <v>1330064484</v>
      </c>
    </row>
    <row r="32" spans="1:6" ht="15.75">
      <c r="A32" s="14"/>
      <c r="B32" s="20"/>
      <c r="C32" s="32" t="s">
        <v>34</v>
      </c>
      <c r="D32" s="33"/>
      <c r="E32" s="33"/>
      <c r="F32" s="34"/>
    </row>
    <row r="33" spans="1:6" ht="15.75">
      <c r="A33" s="14"/>
      <c r="B33" s="24"/>
      <c r="C33" s="35" t="s">
        <v>420</v>
      </c>
      <c r="D33" s="29"/>
      <c r="E33" s="36"/>
      <c r="F33" s="37">
        <f>[7]MEI!F33</f>
        <v>2550000</v>
      </c>
    </row>
    <row r="34" spans="1:6" ht="15.75">
      <c r="A34" s="14"/>
      <c r="B34" s="24"/>
      <c r="C34" s="25" t="s">
        <v>421</v>
      </c>
      <c r="D34" s="37">
        <f>0</f>
        <v>0</v>
      </c>
      <c r="E34" s="36"/>
      <c r="F34" s="37"/>
    </row>
    <row r="35" spans="1:6" ht="15.75">
      <c r="A35" s="14"/>
      <c r="B35" s="24"/>
      <c r="C35" s="25" t="s">
        <v>422</v>
      </c>
      <c r="D35" s="29"/>
      <c r="E35" s="36">
        <f>0</f>
        <v>0</v>
      </c>
      <c r="F35" s="37"/>
    </row>
    <row r="36" spans="1:6" ht="15.75">
      <c r="A36" s="14"/>
      <c r="B36" s="24"/>
      <c r="C36" s="30" t="s">
        <v>33</v>
      </c>
      <c r="D36" s="38"/>
      <c r="E36" s="38"/>
      <c r="F36" s="31">
        <f>F33+D34-E35</f>
        <v>2550000</v>
      </c>
    </row>
    <row r="37" spans="1:6" ht="15.75">
      <c r="A37" s="14"/>
      <c r="B37" s="24"/>
      <c r="C37" s="30" t="s">
        <v>35</v>
      </c>
      <c r="D37" s="31">
        <f>D29+D34</f>
        <v>163700344</v>
      </c>
      <c r="E37" s="39">
        <f>E30+E35</f>
        <v>266187000</v>
      </c>
      <c r="F37" s="40">
        <f>F31+F36</f>
        <v>1332614484</v>
      </c>
    </row>
    <row r="38" spans="1:6" ht="15.75">
      <c r="A38" s="14"/>
      <c r="B38" s="20">
        <v>2</v>
      </c>
      <c r="C38" s="32" t="s">
        <v>36</v>
      </c>
      <c r="D38" s="33"/>
      <c r="E38" s="41"/>
      <c r="F38" s="42"/>
    </row>
    <row r="39" spans="1:6" ht="15.75">
      <c r="A39" s="14"/>
      <c r="B39" s="20"/>
      <c r="C39" s="32" t="s">
        <v>29</v>
      </c>
      <c r="D39" s="33"/>
      <c r="E39" s="41"/>
      <c r="F39" s="42"/>
    </row>
    <row r="40" spans="1:6" ht="15.75">
      <c r="A40" s="43"/>
      <c r="B40" s="24"/>
      <c r="C40" s="25" t="s">
        <v>420</v>
      </c>
      <c r="D40" s="26"/>
      <c r="E40" s="44"/>
      <c r="F40" s="39">
        <f>[7]MEI!F40</f>
        <v>1002148603</v>
      </c>
    </row>
    <row r="41" spans="1:6" ht="15.75">
      <c r="A41" s="45"/>
      <c r="B41" s="24"/>
      <c r="C41" s="25" t="s">
        <v>421</v>
      </c>
      <c r="D41" s="46">
        <f>52860715</f>
        <v>52860715</v>
      </c>
      <c r="E41" s="47"/>
      <c r="F41" s="44"/>
    </row>
    <row r="42" spans="1:6" ht="15.75">
      <c r="A42" s="14"/>
      <c r="B42" s="24"/>
      <c r="C42" s="25" t="s">
        <v>422</v>
      </c>
      <c r="D42" s="28"/>
      <c r="E42" s="48">
        <f>109914307</f>
        <v>109914307</v>
      </c>
      <c r="F42" s="44"/>
    </row>
    <row r="43" spans="1:6" ht="15.75">
      <c r="A43" s="14"/>
      <c r="B43" s="20"/>
      <c r="C43" s="49" t="s">
        <v>37</v>
      </c>
      <c r="D43" s="38"/>
      <c r="E43" s="50"/>
      <c r="F43" s="51">
        <f>F40+D41-E42</f>
        <v>945095011</v>
      </c>
    </row>
    <row r="44" spans="1:6" ht="15.75">
      <c r="A44" s="14"/>
      <c r="B44" s="24"/>
      <c r="C44" s="52" t="s">
        <v>423</v>
      </c>
      <c r="D44" s="53">
        <f>D29+D41</f>
        <v>216561059</v>
      </c>
      <c r="E44" s="53">
        <f>E30+E42</f>
        <v>376101307</v>
      </c>
      <c r="F44" s="31">
        <f>F37+F43</f>
        <v>2277709495</v>
      </c>
    </row>
    <row r="45" spans="1:6" ht="15.75">
      <c r="B45" s="54" t="s">
        <v>340</v>
      </c>
      <c r="C45" s="54"/>
      <c r="D45" s="54"/>
      <c r="E45" s="54"/>
      <c r="F45" s="54"/>
    </row>
    <row r="46" spans="1:6" ht="18.75">
      <c r="A46" s="55"/>
      <c r="B46" s="201" t="s">
        <v>341</v>
      </c>
      <c r="C46" s="10"/>
      <c r="D46" s="57"/>
      <c r="E46" s="10"/>
      <c r="F46" s="58"/>
    </row>
    <row r="47" spans="1:6" ht="18.75">
      <c r="A47" s="55"/>
      <c r="B47" s="201" t="s">
        <v>342</v>
      </c>
      <c r="C47" s="10"/>
      <c r="D47" s="57"/>
      <c r="E47" s="10"/>
      <c r="F47" s="58"/>
    </row>
    <row r="48" spans="1:6" ht="18.75">
      <c r="A48" s="55"/>
      <c r="B48" s="201" t="s">
        <v>343</v>
      </c>
      <c r="C48" s="10"/>
      <c r="D48" s="57"/>
      <c r="E48" s="10"/>
      <c r="F48" s="58"/>
    </row>
    <row r="49" spans="1:9" ht="18.75">
      <c r="A49" s="14"/>
      <c r="B49" s="59"/>
      <c r="C49" s="60" t="s">
        <v>40</v>
      </c>
      <c r="D49" s="61"/>
      <c r="E49" s="60"/>
      <c r="F49" s="58"/>
    </row>
    <row r="50" spans="1:9" ht="19.5">
      <c r="A50" s="62"/>
      <c r="B50" s="59"/>
      <c r="C50" s="63" t="s">
        <v>41</v>
      </c>
      <c r="D50" s="64"/>
      <c r="E50" s="65"/>
      <c r="F50" s="66"/>
    </row>
    <row r="51" spans="1:9" ht="18.75">
      <c r="A51" s="62"/>
      <c r="B51" s="62"/>
      <c r="C51" s="67" t="s">
        <v>42</v>
      </c>
      <c r="D51" s="10"/>
      <c r="E51" s="68" t="s">
        <v>43</v>
      </c>
      <c r="F51" s="68"/>
    </row>
    <row r="52" spans="1:9" ht="18.75">
      <c r="A52" s="62"/>
      <c r="B52" s="62"/>
      <c r="C52" s="67"/>
      <c r="D52" s="10"/>
      <c r="E52" s="69"/>
      <c r="F52" s="69"/>
    </row>
    <row r="53" spans="1:9" ht="18.75">
      <c r="A53" s="62"/>
      <c r="B53" s="62"/>
      <c r="C53" s="70" t="s">
        <v>344</v>
      </c>
      <c r="D53" s="71"/>
      <c r="E53" s="72" t="s">
        <v>344</v>
      </c>
      <c r="F53" s="72"/>
    </row>
    <row r="54" spans="1:9" ht="18.75">
      <c r="A54" s="62"/>
      <c r="B54" s="62"/>
      <c r="C54" s="73" t="s">
        <v>45</v>
      </c>
      <c r="D54" s="74"/>
      <c r="E54" s="75" t="s">
        <v>46</v>
      </c>
      <c r="F54" s="75"/>
    </row>
    <row r="55" spans="1:9" ht="18.75">
      <c r="A55" s="59"/>
      <c r="B55" s="76" t="s">
        <v>47</v>
      </c>
      <c r="C55" s="9"/>
      <c r="D55" s="77"/>
      <c r="E55" s="62"/>
      <c r="F55" s="62"/>
    </row>
    <row r="56" spans="1:9" ht="18.75">
      <c r="A56" s="59"/>
      <c r="B56" s="9" t="s">
        <v>48</v>
      </c>
      <c r="C56" s="9"/>
      <c r="D56" s="78"/>
      <c r="E56" s="62"/>
      <c r="F56" s="62"/>
    </row>
    <row r="57" spans="1:9" ht="18.75">
      <c r="A57" s="59"/>
      <c r="B57" s="9" t="s">
        <v>49</v>
      </c>
      <c r="C57" s="9"/>
      <c r="D57" s="14"/>
      <c r="E57" s="62"/>
      <c r="F57" s="62"/>
    </row>
    <row r="58" spans="1:9" ht="18.75">
      <c r="A58" s="59"/>
      <c r="B58" s="9" t="s">
        <v>50</v>
      </c>
      <c r="C58" s="9"/>
      <c r="D58" s="14"/>
      <c r="E58" s="62"/>
      <c r="F58" s="62"/>
    </row>
    <row r="59" spans="1:9" ht="18.75">
      <c r="A59" s="59"/>
      <c r="B59" s="9" t="s">
        <v>51</v>
      </c>
      <c r="C59" s="9"/>
      <c r="D59" s="14"/>
      <c r="E59" s="62"/>
      <c r="F59" s="62"/>
    </row>
    <row r="60" spans="1:9" ht="15.75">
      <c r="B60" s="14"/>
      <c r="C60" s="14"/>
      <c r="D60" s="14"/>
      <c r="E60" s="79"/>
      <c r="F60" s="79"/>
    </row>
    <row r="61" spans="1:9" ht="18.75">
      <c r="A61" s="80" t="s">
        <v>52</v>
      </c>
    </row>
    <row r="63" spans="1:9" ht="22.5">
      <c r="A63" s="81" t="s">
        <v>53</v>
      </c>
      <c r="B63" s="81"/>
      <c r="C63" s="81"/>
      <c r="D63" s="81"/>
      <c r="E63" s="81"/>
      <c r="F63" s="81"/>
      <c r="G63" s="81"/>
      <c r="H63" s="81"/>
      <c r="I63" s="81"/>
    </row>
    <row r="64" spans="1:9" ht="22.5">
      <c r="A64" s="81" t="s">
        <v>54</v>
      </c>
      <c r="B64" s="81"/>
      <c r="C64" s="81"/>
      <c r="D64" s="81"/>
      <c r="E64" s="81"/>
      <c r="F64" s="81"/>
      <c r="G64" s="81"/>
      <c r="H64" s="81"/>
      <c r="I64" s="81"/>
    </row>
    <row r="65" spans="1:9" ht="20.25">
      <c r="A65" s="82" t="s">
        <v>424</v>
      </c>
      <c r="B65" s="82"/>
      <c r="C65" s="82"/>
      <c r="D65" s="82"/>
      <c r="E65" s="82"/>
      <c r="F65" s="82"/>
      <c r="G65" s="82"/>
      <c r="H65" s="82"/>
      <c r="I65" s="82"/>
    </row>
    <row r="66" spans="1:9" ht="15.75" thickBot="1">
      <c r="A66" s="83"/>
      <c r="B66" s="83"/>
      <c r="C66" s="83"/>
      <c r="D66" s="83"/>
      <c r="E66" s="83"/>
      <c r="F66" s="83"/>
      <c r="G66" s="83"/>
      <c r="H66" s="83"/>
      <c r="I66" s="83"/>
    </row>
    <row r="67" spans="1:9" ht="15.75" thickTop="1">
      <c r="A67" s="84" t="s">
        <v>23</v>
      </c>
      <c r="B67" s="85" t="s">
        <v>56</v>
      </c>
      <c r="C67" s="86"/>
      <c r="D67" s="211" t="s">
        <v>57</v>
      </c>
      <c r="E67" s="212"/>
      <c r="F67" s="213" t="s">
        <v>58</v>
      </c>
      <c r="G67" s="211" t="s">
        <v>57</v>
      </c>
      <c r="H67" s="212"/>
      <c r="I67" s="89" t="s">
        <v>58</v>
      </c>
    </row>
    <row r="68" spans="1:9">
      <c r="A68" s="90"/>
      <c r="B68" s="91"/>
      <c r="C68" s="92"/>
      <c r="D68" s="214" t="s">
        <v>373</v>
      </c>
      <c r="E68" s="215"/>
      <c r="F68" s="216"/>
      <c r="G68" s="214" t="s">
        <v>425</v>
      </c>
      <c r="H68" s="215"/>
      <c r="I68" s="95"/>
    </row>
    <row r="69" spans="1:9">
      <c r="A69" s="96"/>
      <c r="B69" s="97"/>
      <c r="C69" s="98"/>
      <c r="D69" s="217" t="s">
        <v>28</v>
      </c>
      <c r="E69" s="217" t="s">
        <v>61</v>
      </c>
      <c r="F69" s="218"/>
      <c r="G69" s="217" t="s">
        <v>28</v>
      </c>
      <c r="H69" s="217" t="s">
        <v>61</v>
      </c>
      <c r="I69" s="100"/>
    </row>
    <row r="70" spans="1:9">
      <c r="A70" s="101" t="s">
        <v>62</v>
      </c>
      <c r="B70" s="102"/>
      <c r="C70" s="102"/>
      <c r="D70" s="102"/>
      <c r="E70" s="102"/>
      <c r="F70" s="102"/>
      <c r="G70" s="102"/>
      <c r="H70" s="102"/>
      <c r="I70" s="103"/>
    </row>
    <row r="71" spans="1:9">
      <c r="A71" s="104">
        <v>1</v>
      </c>
      <c r="B71" s="104">
        <v>1</v>
      </c>
      <c r="C71" s="105" t="s">
        <v>63</v>
      </c>
      <c r="D71" s="106">
        <v>2085800</v>
      </c>
      <c r="E71" s="107">
        <f>0</f>
        <v>0</v>
      </c>
      <c r="F71" s="106">
        <f>SUM(D71:E71)</f>
        <v>2085800</v>
      </c>
      <c r="G71" s="106">
        <v>2007300</v>
      </c>
      <c r="H71" s="107">
        <f>0</f>
        <v>0</v>
      </c>
      <c r="I71" s="106">
        <f>SUM(G71:H71)</f>
        <v>2007300</v>
      </c>
    </row>
    <row r="72" spans="1:9">
      <c r="A72" s="108" t="s">
        <v>58</v>
      </c>
      <c r="B72" s="109"/>
      <c r="C72" s="109"/>
      <c r="D72" s="110">
        <f>D71</f>
        <v>2085800</v>
      </c>
      <c r="E72" s="111">
        <f>E71</f>
        <v>0</v>
      </c>
      <c r="F72" s="112">
        <f>SUM(D72:E72)</f>
        <v>2085800</v>
      </c>
      <c r="G72" s="110">
        <f>G71</f>
        <v>2007300</v>
      </c>
      <c r="H72" s="111">
        <f>H71</f>
        <v>0</v>
      </c>
      <c r="I72" s="112">
        <f>SUM(G72:H72)</f>
        <v>2007300</v>
      </c>
    </row>
    <row r="73" spans="1:9">
      <c r="A73" s="108" t="s">
        <v>64</v>
      </c>
      <c r="B73" s="109"/>
      <c r="C73" s="109"/>
      <c r="D73" s="109"/>
      <c r="E73" s="109"/>
      <c r="F73" s="109"/>
      <c r="G73" s="109"/>
      <c r="H73" s="109"/>
      <c r="I73" s="113"/>
    </row>
    <row r="74" spans="1:9">
      <c r="A74" s="114">
        <v>2</v>
      </c>
      <c r="B74" s="115">
        <v>1</v>
      </c>
      <c r="C74" s="116" t="s">
        <v>65</v>
      </c>
      <c r="D74" s="106">
        <v>1154900</v>
      </c>
      <c r="E74" s="106">
        <v>319000</v>
      </c>
      <c r="F74" s="117">
        <f>SUM(D74:E74)</f>
        <v>1473900</v>
      </c>
      <c r="G74" s="106">
        <v>1757400</v>
      </c>
      <c r="H74" s="106">
        <v>509000</v>
      </c>
      <c r="I74" s="117">
        <f>SUM(G74:H74)</f>
        <v>2266400</v>
      </c>
    </row>
    <row r="75" spans="1:9">
      <c r="A75" s="114">
        <v>3</v>
      </c>
      <c r="B75" s="115">
        <v>2</v>
      </c>
      <c r="C75" s="116" t="s">
        <v>66</v>
      </c>
      <c r="D75" s="106">
        <v>864469</v>
      </c>
      <c r="E75" s="106">
        <v>296550</v>
      </c>
      <c r="F75" s="117">
        <f t="shared" ref="F75:F83" si="0">SUM(D75:E75)</f>
        <v>1161019</v>
      </c>
      <c r="G75" s="106">
        <v>879294</v>
      </c>
      <c r="H75" s="106">
        <v>296550</v>
      </c>
      <c r="I75" s="117">
        <f t="shared" ref="I75:I83" si="1">SUM(G75:H75)</f>
        <v>1175844</v>
      </c>
    </row>
    <row r="76" spans="1:9">
      <c r="A76" s="114">
        <v>4</v>
      </c>
      <c r="B76" s="115">
        <v>3</v>
      </c>
      <c r="C76" s="116" t="s">
        <v>67</v>
      </c>
      <c r="D76" s="106">
        <v>2397600</v>
      </c>
      <c r="E76" s="118">
        <v>270000</v>
      </c>
      <c r="F76" s="117">
        <f t="shared" si="0"/>
        <v>2667600</v>
      </c>
      <c r="G76" s="106">
        <v>2404500</v>
      </c>
      <c r="H76" s="118">
        <v>270000</v>
      </c>
      <c r="I76" s="117">
        <f t="shared" si="1"/>
        <v>2674500</v>
      </c>
    </row>
    <row r="77" spans="1:9">
      <c r="A77" s="114">
        <v>5</v>
      </c>
      <c r="B77" s="115">
        <v>4</v>
      </c>
      <c r="C77" s="116" t="s">
        <v>68</v>
      </c>
      <c r="D77" s="106">
        <v>1467063</v>
      </c>
      <c r="E77" s="106">
        <v>45000</v>
      </c>
      <c r="F77" s="117">
        <f t="shared" si="0"/>
        <v>1512063</v>
      </c>
      <c r="G77" s="106">
        <v>1467063</v>
      </c>
      <c r="H77" s="106">
        <v>44000</v>
      </c>
      <c r="I77" s="117">
        <f t="shared" si="1"/>
        <v>1511063</v>
      </c>
    </row>
    <row r="78" spans="1:9">
      <c r="A78" s="114">
        <v>6</v>
      </c>
      <c r="B78" s="115">
        <v>5</v>
      </c>
      <c r="C78" s="116" t="s">
        <v>69</v>
      </c>
      <c r="D78" s="106">
        <v>2110800</v>
      </c>
      <c r="E78" s="106">
        <v>147300</v>
      </c>
      <c r="F78" s="117">
        <f t="shared" si="0"/>
        <v>2258100</v>
      </c>
      <c r="G78" s="106">
        <v>2114100</v>
      </c>
      <c r="H78" s="106">
        <v>147300</v>
      </c>
      <c r="I78" s="117">
        <f t="shared" si="1"/>
        <v>2261400</v>
      </c>
    </row>
    <row r="79" spans="1:9">
      <c r="A79" s="114">
        <v>7</v>
      </c>
      <c r="B79" s="115">
        <v>6</v>
      </c>
      <c r="C79" s="116" t="s">
        <v>426</v>
      </c>
      <c r="D79" s="106">
        <v>4128700</v>
      </c>
      <c r="E79" s="106">
        <f>0</f>
        <v>0</v>
      </c>
      <c r="F79" s="117">
        <f t="shared" si="0"/>
        <v>4128700</v>
      </c>
      <c r="G79" s="106">
        <v>4104100</v>
      </c>
      <c r="H79" s="106">
        <f>0</f>
        <v>0</v>
      </c>
      <c r="I79" s="117">
        <f t="shared" si="1"/>
        <v>4104100</v>
      </c>
    </row>
    <row r="80" spans="1:9">
      <c r="A80" s="114">
        <v>8</v>
      </c>
      <c r="B80" s="115">
        <v>7</v>
      </c>
      <c r="C80" s="116" t="s">
        <v>71</v>
      </c>
      <c r="D80" s="106">
        <v>1507300</v>
      </c>
      <c r="E80" s="106">
        <v>1964500</v>
      </c>
      <c r="F80" s="117">
        <f t="shared" si="0"/>
        <v>3471800</v>
      </c>
      <c r="G80" s="106">
        <v>1507300</v>
      </c>
      <c r="H80" s="106">
        <v>1974500</v>
      </c>
      <c r="I80" s="117">
        <f t="shared" si="1"/>
        <v>3481800</v>
      </c>
    </row>
    <row r="81" spans="1:9">
      <c r="A81" s="114">
        <v>9</v>
      </c>
      <c r="B81" s="115">
        <v>8</v>
      </c>
      <c r="C81" s="116" t="s">
        <v>72</v>
      </c>
      <c r="D81" s="106">
        <f>527000+527000</f>
        <v>1054000</v>
      </c>
      <c r="E81" s="106">
        <f>885000+885000</f>
        <v>1770000</v>
      </c>
      <c r="F81" s="117">
        <f t="shared" si="0"/>
        <v>2824000</v>
      </c>
      <c r="G81" s="106">
        <v>527000</v>
      </c>
      <c r="H81" s="106">
        <v>885000</v>
      </c>
      <c r="I81" s="117">
        <f t="shared" si="1"/>
        <v>1412000</v>
      </c>
    </row>
    <row r="82" spans="1:9">
      <c r="A82" s="114">
        <v>10</v>
      </c>
      <c r="B82" s="115">
        <v>9</v>
      </c>
      <c r="C82" s="116" t="s">
        <v>73</v>
      </c>
      <c r="D82" s="106">
        <v>1503300</v>
      </c>
      <c r="E82" s="106">
        <v>52000</v>
      </c>
      <c r="F82" s="117">
        <f t="shared" si="0"/>
        <v>1555300</v>
      </c>
      <c r="G82" s="106">
        <v>1509350</v>
      </c>
      <c r="H82" s="106">
        <v>52000</v>
      </c>
      <c r="I82" s="117">
        <f t="shared" si="1"/>
        <v>1561350</v>
      </c>
    </row>
    <row r="83" spans="1:9">
      <c r="A83" s="114">
        <v>11</v>
      </c>
      <c r="B83" s="115">
        <v>10</v>
      </c>
      <c r="C83" s="119" t="s">
        <v>74</v>
      </c>
      <c r="D83" s="106">
        <v>320515</v>
      </c>
      <c r="E83" s="106">
        <v>58000</v>
      </c>
      <c r="F83" s="117">
        <f t="shared" si="0"/>
        <v>378515</v>
      </c>
      <c r="G83" s="106">
        <v>320515</v>
      </c>
      <c r="H83" s="106">
        <v>58000</v>
      </c>
      <c r="I83" s="117">
        <f t="shared" si="1"/>
        <v>378515</v>
      </c>
    </row>
    <row r="84" spans="1:9">
      <c r="A84" s="108" t="s">
        <v>58</v>
      </c>
      <c r="B84" s="109"/>
      <c r="C84" s="109"/>
      <c r="D84" s="110">
        <f>SUM(D74:D83)</f>
        <v>16508647</v>
      </c>
      <c r="E84" s="110">
        <f>SUM(E74:E83)</f>
        <v>4922350</v>
      </c>
      <c r="F84" s="110">
        <f>SUM(D84:E84)</f>
        <v>21430997</v>
      </c>
      <c r="G84" s="110">
        <f>SUM(G74:G83)</f>
        <v>16590622</v>
      </c>
      <c r="H84" s="110">
        <f>SUM(H74:H83)</f>
        <v>4236350</v>
      </c>
      <c r="I84" s="110">
        <f>SUM(G84:H84)</f>
        <v>20826972</v>
      </c>
    </row>
    <row r="85" spans="1:9">
      <c r="A85" s="108" t="s">
        <v>75</v>
      </c>
      <c r="B85" s="109"/>
      <c r="C85" s="109"/>
      <c r="D85" s="109"/>
      <c r="E85" s="109"/>
      <c r="F85" s="109"/>
      <c r="G85" s="109"/>
      <c r="H85" s="109"/>
      <c r="I85" s="113"/>
    </row>
    <row r="86" spans="1:9">
      <c r="A86" s="120">
        <v>12</v>
      </c>
      <c r="B86" s="119">
        <v>1</v>
      </c>
      <c r="C86" s="116" t="s">
        <v>76</v>
      </c>
      <c r="D86" s="106">
        <v>2639415</v>
      </c>
      <c r="E86" s="106">
        <v>1926215</v>
      </c>
      <c r="F86" s="117">
        <f>SUM(D86:E86)</f>
        <v>4565630</v>
      </c>
      <c r="G86" s="106">
        <v>2639415</v>
      </c>
      <c r="H86" s="106">
        <v>1896215</v>
      </c>
      <c r="I86" s="117">
        <f>SUM(G86:H86)</f>
        <v>4535630</v>
      </c>
    </row>
    <row r="87" spans="1:9">
      <c r="A87" s="120">
        <v>13</v>
      </c>
      <c r="B87" s="119">
        <v>2</v>
      </c>
      <c r="C87" s="116" t="s">
        <v>77</v>
      </c>
      <c r="D87" s="106">
        <v>3761828</v>
      </c>
      <c r="E87" s="106">
        <v>5185000</v>
      </c>
      <c r="F87" s="117">
        <f t="shared" ref="F87:F99" si="2">SUM(D87:E87)</f>
        <v>8946828</v>
      </c>
      <c r="G87" s="106">
        <v>3764206</v>
      </c>
      <c r="H87" s="106">
        <v>5160000</v>
      </c>
      <c r="I87" s="117">
        <f t="shared" ref="I87:I99" si="3">SUM(G87:H87)</f>
        <v>8924206</v>
      </c>
    </row>
    <row r="88" spans="1:9">
      <c r="A88" s="120">
        <v>14</v>
      </c>
      <c r="B88" s="119">
        <v>3</v>
      </c>
      <c r="C88" s="116" t="s">
        <v>78</v>
      </c>
      <c r="D88" s="106">
        <v>2845300</v>
      </c>
      <c r="E88" s="106">
        <v>790000</v>
      </c>
      <c r="F88" s="117">
        <f t="shared" si="2"/>
        <v>3635300</v>
      </c>
      <c r="G88" s="106">
        <v>2845300</v>
      </c>
      <c r="H88" s="106">
        <v>790000</v>
      </c>
      <c r="I88" s="117">
        <f t="shared" si="3"/>
        <v>3635300</v>
      </c>
    </row>
    <row r="89" spans="1:9">
      <c r="A89" s="120">
        <v>15</v>
      </c>
      <c r="B89" s="119">
        <v>4</v>
      </c>
      <c r="C89" s="116" t="s">
        <v>79</v>
      </c>
      <c r="D89" s="106">
        <v>966440</v>
      </c>
      <c r="E89" s="106">
        <v>1475392</v>
      </c>
      <c r="F89" s="117">
        <f t="shared" si="2"/>
        <v>2441832</v>
      </c>
      <c r="G89" s="106">
        <v>966440</v>
      </c>
      <c r="H89" s="106">
        <v>1470392</v>
      </c>
      <c r="I89" s="117">
        <f t="shared" si="3"/>
        <v>2436832</v>
      </c>
    </row>
    <row r="90" spans="1:9">
      <c r="A90" s="120">
        <v>16</v>
      </c>
      <c r="B90" s="119">
        <v>5</v>
      </c>
      <c r="C90" s="116" t="s">
        <v>80</v>
      </c>
      <c r="D90" s="106">
        <v>2885200</v>
      </c>
      <c r="E90" s="106">
        <v>110000</v>
      </c>
      <c r="F90" s="117">
        <f t="shared" si="2"/>
        <v>2995200</v>
      </c>
      <c r="G90" s="106">
        <v>2735200</v>
      </c>
      <c r="H90" s="106">
        <v>105000</v>
      </c>
      <c r="I90" s="117">
        <f t="shared" si="3"/>
        <v>2840200</v>
      </c>
    </row>
    <row r="91" spans="1:9">
      <c r="A91" s="120">
        <v>17</v>
      </c>
      <c r="B91" s="119">
        <v>6</v>
      </c>
      <c r="C91" s="116" t="s">
        <v>81</v>
      </c>
      <c r="D91" s="106">
        <v>2089500</v>
      </c>
      <c r="E91" s="106">
        <v>153000</v>
      </c>
      <c r="F91" s="117">
        <f t="shared" si="2"/>
        <v>2242500</v>
      </c>
      <c r="G91" s="106">
        <v>2089500</v>
      </c>
      <c r="H91" s="106">
        <v>145000</v>
      </c>
      <c r="I91" s="117">
        <f t="shared" si="3"/>
        <v>2234500</v>
      </c>
    </row>
    <row r="92" spans="1:9">
      <c r="A92" s="120">
        <v>18</v>
      </c>
      <c r="B92" s="119">
        <v>7</v>
      </c>
      <c r="C92" s="116" t="s">
        <v>82</v>
      </c>
      <c r="D92" s="106">
        <v>4344700</v>
      </c>
      <c r="E92" s="106">
        <v>189800</v>
      </c>
      <c r="F92" s="117">
        <f t="shared" si="2"/>
        <v>4534500</v>
      </c>
      <c r="G92" s="106">
        <v>4352100</v>
      </c>
      <c r="H92" s="106">
        <v>189800</v>
      </c>
      <c r="I92" s="117">
        <f t="shared" si="3"/>
        <v>4541900</v>
      </c>
    </row>
    <row r="93" spans="1:9">
      <c r="A93" s="120">
        <v>19</v>
      </c>
      <c r="B93" s="119">
        <v>8</v>
      </c>
      <c r="C93" s="116" t="s">
        <v>83</v>
      </c>
      <c r="D93" s="106">
        <v>1063853</v>
      </c>
      <c r="E93" s="106">
        <v>941000</v>
      </c>
      <c r="F93" s="117">
        <f t="shared" si="2"/>
        <v>2004853</v>
      </c>
      <c r="G93" s="106">
        <v>1068028</v>
      </c>
      <c r="H93" s="106">
        <v>665700</v>
      </c>
      <c r="I93" s="117">
        <f t="shared" si="3"/>
        <v>1733728</v>
      </c>
    </row>
    <row r="94" spans="1:9">
      <c r="A94" s="120">
        <v>20</v>
      </c>
      <c r="B94" s="119">
        <v>9</v>
      </c>
      <c r="C94" s="116" t="s">
        <v>84</v>
      </c>
      <c r="D94" s="106">
        <f>748000+748000</f>
        <v>1496000</v>
      </c>
      <c r="E94" s="106">
        <f>162000+152000</f>
        <v>314000</v>
      </c>
      <c r="F94" s="117">
        <f t="shared" si="2"/>
        <v>1810000</v>
      </c>
      <c r="G94" s="106">
        <v>748000</v>
      </c>
      <c r="H94" s="106">
        <v>162000</v>
      </c>
      <c r="I94" s="117">
        <f t="shared" si="3"/>
        <v>910000</v>
      </c>
    </row>
    <row r="95" spans="1:9">
      <c r="A95" s="120">
        <v>21</v>
      </c>
      <c r="B95" s="119">
        <v>10</v>
      </c>
      <c r="C95" s="116" t="s">
        <v>85</v>
      </c>
      <c r="D95" s="106">
        <v>3244342</v>
      </c>
      <c r="E95" s="106">
        <v>59000</v>
      </c>
      <c r="F95" s="117">
        <f t="shared" si="2"/>
        <v>3303342</v>
      </c>
      <c r="G95" s="106">
        <v>3248107</v>
      </c>
      <c r="H95" s="106">
        <v>59000</v>
      </c>
      <c r="I95" s="117">
        <f t="shared" si="3"/>
        <v>3307107</v>
      </c>
    </row>
    <row r="96" spans="1:9">
      <c r="A96" s="120">
        <v>22</v>
      </c>
      <c r="B96" s="119">
        <v>11</v>
      </c>
      <c r="C96" s="116" t="s">
        <v>427</v>
      </c>
      <c r="D96" s="106">
        <v>2798226</v>
      </c>
      <c r="E96" s="106">
        <v>1370000</v>
      </c>
      <c r="F96" s="117">
        <f t="shared" si="2"/>
        <v>4168226</v>
      </c>
      <c r="G96" s="106">
        <v>2798226</v>
      </c>
      <c r="H96" s="106">
        <v>1370000</v>
      </c>
      <c r="I96" s="117">
        <f t="shared" si="3"/>
        <v>4168226</v>
      </c>
    </row>
    <row r="97" spans="1:9">
      <c r="A97" s="120">
        <v>23</v>
      </c>
      <c r="B97" s="119">
        <v>12</v>
      </c>
      <c r="C97" s="116" t="s">
        <v>87</v>
      </c>
      <c r="D97" s="106">
        <v>1650300</v>
      </c>
      <c r="E97" s="106">
        <v>494192</v>
      </c>
      <c r="F97" s="117">
        <f t="shared" si="2"/>
        <v>2144492</v>
      </c>
      <c r="G97" s="106">
        <v>1572800</v>
      </c>
      <c r="H97" s="106">
        <v>484192</v>
      </c>
      <c r="I97" s="117">
        <f t="shared" si="3"/>
        <v>2056992</v>
      </c>
    </row>
    <row r="98" spans="1:9">
      <c r="A98" s="120">
        <v>24</v>
      </c>
      <c r="B98" s="119">
        <v>13</v>
      </c>
      <c r="C98" s="116" t="s">
        <v>88</v>
      </c>
      <c r="D98" s="106">
        <v>1650500</v>
      </c>
      <c r="E98" s="106">
        <v>675000</v>
      </c>
      <c r="F98" s="117">
        <f t="shared" si="2"/>
        <v>2325500</v>
      </c>
      <c r="G98" s="106">
        <f>0</f>
        <v>0</v>
      </c>
      <c r="H98" s="219">
        <f>1650500+675000</f>
        <v>2325500</v>
      </c>
      <c r="I98" s="117">
        <f t="shared" si="3"/>
        <v>2325500</v>
      </c>
    </row>
    <row r="99" spans="1:9">
      <c r="A99" s="120">
        <v>25</v>
      </c>
      <c r="B99" s="119">
        <v>14</v>
      </c>
      <c r="C99" s="116" t="s">
        <v>89</v>
      </c>
      <c r="D99" s="106">
        <v>568000</v>
      </c>
      <c r="E99" s="106">
        <v>324390</v>
      </c>
      <c r="F99" s="117">
        <f t="shared" si="2"/>
        <v>892390</v>
      </c>
      <c r="G99" s="106">
        <v>182200</v>
      </c>
      <c r="H99" s="106">
        <v>274000</v>
      </c>
      <c r="I99" s="117">
        <f t="shared" si="3"/>
        <v>456200</v>
      </c>
    </row>
    <row r="100" spans="1:9">
      <c r="A100" s="108" t="s">
        <v>58</v>
      </c>
      <c r="B100" s="109"/>
      <c r="C100" s="109"/>
      <c r="D100" s="110">
        <f>SUM(D86:D99)</f>
        <v>32003604</v>
      </c>
      <c r="E100" s="110">
        <f>SUM(E86:E99)</f>
        <v>14006989</v>
      </c>
      <c r="F100" s="110">
        <f>SUM(D100:E100)</f>
        <v>46010593</v>
      </c>
      <c r="G100" s="110">
        <f>SUM(G86:G99)</f>
        <v>29009522</v>
      </c>
      <c r="H100" s="110">
        <f>SUM(H86:H99)</f>
        <v>15096799</v>
      </c>
      <c r="I100" s="110">
        <f>SUM(G100:H100)</f>
        <v>44106321</v>
      </c>
    </row>
    <row r="101" spans="1:9">
      <c r="A101" s="108" t="s">
        <v>90</v>
      </c>
      <c r="B101" s="109"/>
      <c r="C101" s="109"/>
      <c r="D101" s="109"/>
      <c r="E101" s="109"/>
      <c r="F101" s="109"/>
      <c r="G101" s="109"/>
      <c r="H101" s="109"/>
      <c r="I101" s="113"/>
    </row>
    <row r="102" spans="1:9">
      <c r="A102" s="119">
        <v>26</v>
      </c>
      <c r="B102" s="119">
        <v>1</v>
      </c>
      <c r="C102" s="116" t="s">
        <v>91</v>
      </c>
      <c r="D102" s="106">
        <v>350000</v>
      </c>
      <c r="E102" s="106">
        <v>305000</v>
      </c>
      <c r="F102" s="117">
        <f>SUM(D102:E102)</f>
        <v>655000</v>
      </c>
      <c r="G102" s="106">
        <v>350000</v>
      </c>
      <c r="H102" s="106">
        <v>305000</v>
      </c>
      <c r="I102" s="117">
        <f>SUM(G102:H102)</f>
        <v>655000</v>
      </c>
    </row>
    <row r="103" spans="1:9">
      <c r="A103" s="119">
        <v>27</v>
      </c>
      <c r="B103" s="119">
        <v>2</v>
      </c>
      <c r="C103" s="121" t="s">
        <v>92</v>
      </c>
      <c r="D103" s="106">
        <f>0</f>
        <v>0</v>
      </c>
      <c r="E103" s="106">
        <f>0</f>
        <v>0</v>
      </c>
      <c r="F103" s="117">
        <f t="shared" ref="F103:F110" si="4">SUM(D103:E103)</f>
        <v>0</v>
      </c>
      <c r="G103" s="106">
        <f>0</f>
        <v>0</v>
      </c>
      <c r="H103" s="106">
        <f>0</f>
        <v>0</v>
      </c>
      <c r="I103" s="117">
        <f t="shared" ref="I103:I110" si="5">SUM(G103:H103)</f>
        <v>0</v>
      </c>
    </row>
    <row r="104" spans="1:9">
      <c r="A104" s="119">
        <v>28</v>
      </c>
      <c r="B104" s="119">
        <v>3</v>
      </c>
      <c r="C104" s="121" t="s">
        <v>93</v>
      </c>
      <c r="D104" s="106">
        <f>0</f>
        <v>0</v>
      </c>
      <c r="E104" s="106">
        <f>0</f>
        <v>0</v>
      </c>
      <c r="F104" s="117">
        <f t="shared" si="4"/>
        <v>0</v>
      </c>
      <c r="G104" s="106">
        <f>384000+384000</f>
        <v>768000</v>
      </c>
      <c r="H104" s="106">
        <f>60000+60000</f>
        <v>120000</v>
      </c>
      <c r="I104" s="117">
        <f t="shared" si="5"/>
        <v>888000</v>
      </c>
    </row>
    <row r="105" spans="1:9">
      <c r="A105" s="119">
        <v>29</v>
      </c>
      <c r="B105" s="119">
        <v>4</v>
      </c>
      <c r="C105" s="121" t="s">
        <v>94</v>
      </c>
      <c r="D105" s="106">
        <v>250000</v>
      </c>
      <c r="E105" s="106">
        <v>185000</v>
      </c>
      <c r="F105" s="117">
        <f t="shared" si="4"/>
        <v>435000</v>
      </c>
      <c r="G105" s="106">
        <v>250000</v>
      </c>
      <c r="H105" s="106">
        <v>190000</v>
      </c>
      <c r="I105" s="117">
        <f t="shared" si="5"/>
        <v>440000</v>
      </c>
    </row>
    <row r="106" spans="1:9">
      <c r="A106" s="119">
        <v>30</v>
      </c>
      <c r="B106" s="119">
        <v>5</v>
      </c>
      <c r="C106" s="121" t="s">
        <v>95</v>
      </c>
      <c r="D106" s="106">
        <v>148000</v>
      </c>
      <c r="E106" s="106">
        <v>260000</v>
      </c>
      <c r="F106" s="117">
        <f t="shared" si="4"/>
        <v>408000</v>
      </c>
      <c r="G106" s="106">
        <v>148000</v>
      </c>
      <c r="H106" s="106">
        <v>260000</v>
      </c>
      <c r="I106" s="117">
        <f t="shared" si="5"/>
        <v>408000</v>
      </c>
    </row>
    <row r="107" spans="1:9">
      <c r="A107" s="119">
        <v>31</v>
      </c>
      <c r="B107" s="119">
        <v>6</v>
      </c>
      <c r="C107" s="121" t="s">
        <v>96</v>
      </c>
      <c r="D107" s="106">
        <v>437500</v>
      </c>
      <c r="E107" s="106">
        <v>42000</v>
      </c>
      <c r="F107" s="117">
        <f t="shared" si="4"/>
        <v>479500</v>
      </c>
      <c r="G107" s="106">
        <v>437500</v>
      </c>
      <c r="H107" s="106">
        <v>42000</v>
      </c>
      <c r="I107" s="117">
        <f t="shared" si="5"/>
        <v>479500</v>
      </c>
    </row>
    <row r="108" spans="1:9">
      <c r="A108" s="119">
        <v>32</v>
      </c>
      <c r="B108" s="119">
        <v>7</v>
      </c>
      <c r="C108" s="121" t="s">
        <v>97</v>
      </c>
      <c r="D108" s="106">
        <v>687800</v>
      </c>
      <c r="E108" s="106">
        <v>337500</v>
      </c>
      <c r="F108" s="117">
        <f t="shared" si="4"/>
        <v>1025300</v>
      </c>
      <c r="G108" s="106">
        <v>687800</v>
      </c>
      <c r="H108" s="106">
        <v>321500</v>
      </c>
      <c r="I108" s="117">
        <f t="shared" si="5"/>
        <v>1009300</v>
      </c>
    </row>
    <row r="109" spans="1:9">
      <c r="A109" s="119">
        <v>33</v>
      </c>
      <c r="B109" s="119">
        <v>8</v>
      </c>
      <c r="C109" s="121" t="s">
        <v>98</v>
      </c>
      <c r="D109" s="106">
        <v>460400</v>
      </c>
      <c r="E109" s="106">
        <v>84000</v>
      </c>
      <c r="F109" s="117">
        <f t="shared" si="4"/>
        <v>544400</v>
      </c>
      <c r="G109" s="106">
        <v>460400</v>
      </c>
      <c r="H109" s="106">
        <v>90000</v>
      </c>
      <c r="I109" s="117">
        <f t="shared" si="5"/>
        <v>550400</v>
      </c>
    </row>
    <row r="110" spans="1:9">
      <c r="A110" s="119">
        <v>34</v>
      </c>
      <c r="B110" s="119">
        <v>9</v>
      </c>
      <c r="C110" s="122" t="s">
        <v>99</v>
      </c>
      <c r="D110" s="106">
        <v>466950</v>
      </c>
      <c r="E110" s="106">
        <v>283000</v>
      </c>
      <c r="F110" s="117">
        <f t="shared" si="4"/>
        <v>749950</v>
      </c>
      <c r="G110" s="106">
        <v>520800</v>
      </c>
      <c r="H110" s="106">
        <v>283000</v>
      </c>
      <c r="I110" s="117">
        <f t="shared" si="5"/>
        <v>803800</v>
      </c>
    </row>
    <row r="111" spans="1:9">
      <c r="A111" s="108" t="s">
        <v>101</v>
      </c>
      <c r="B111" s="109"/>
      <c r="C111" s="123"/>
      <c r="D111" s="110">
        <f>SUM(D102:D110)</f>
        <v>2800650</v>
      </c>
      <c r="E111" s="110">
        <f>SUM(E102:E110)</f>
        <v>1496500</v>
      </c>
      <c r="F111" s="110">
        <f>SUM(D111:E111)</f>
        <v>4297150</v>
      </c>
      <c r="G111" s="110">
        <f>SUM(G102:G110)</f>
        <v>3622500</v>
      </c>
      <c r="H111" s="110">
        <f>SUM(H102:H110)</f>
        <v>1611500</v>
      </c>
      <c r="I111" s="110">
        <f>SUM(G111:H111)</f>
        <v>5234000</v>
      </c>
    </row>
    <row r="112" spans="1:9">
      <c r="A112" s="108" t="s">
        <v>102</v>
      </c>
      <c r="B112" s="109"/>
      <c r="C112" s="109"/>
      <c r="D112" s="109"/>
      <c r="E112" s="109"/>
      <c r="F112" s="109"/>
      <c r="G112" s="109"/>
      <c r="H112" s="109"/>
      <c r="I112" s="113"/>
    </row>
    <row r="113" spans="1:9">
      <c r="A113" s="119">
        <v>35</v>
      </c>
      <c r="B113" s="119">
        <v>1</v>
      </c>
      <c r="C113" s="116" t="s">
        <v>103</v>
      </c>
      <c r="D113" s="106">
        <v>100000</v>
      </c>
      <c r="E113" s="106">
        <v>60000</v>
      </c>
      <c r="F113" s="117">
        <f>SUM(D113:E113)</f>
        <v>160000</v>
      </c>
      <c r="G113" s="106">
        <v>100000</v>
      </c>
      <c r="H113" s="106">
        <v>60000</v>
      </c>
      <c r="I113" s="117">
        <f>SUM(G113:H113)</f>
        <v>160000</v>
      </c>
    </row>
    <row r="114" spans="1:9">
      <c r="A114" s="119">
        <v>36</v>
      </c>
      <c r="B114" s="119">
        <v>2</v>
      </c>
      <c r="C114" s="116" t="s">
        <v>104</v>
      </c>
      <c r="D114" s="106">
        <f>0</f>
        <v>0</v>
      </c>
      <c r="E114" s="106">
        <f>0</f>
        <v>0</v>
      </c>
      <c r="F114" s="117">
        <f>SUM(D114:E114)</f>
        <v>0</v>
      </c>
      <c r="G114" s="106">
        <f>0</f>
        <v>0</v>
      </c>
      <c r="H114" s="106">
        <f>0</f>
        <v>0</v>
      </c>
      <c r="I114" s="117">
        <f>SUM(G114:H114)</f>
        <v>0</v>
      </c>
    </row>
    <row r="115" spans="1:9">
      <c r="A115" s="119">
        <v>37</v>
      </c>
      <c r="B115" s="119">
        <v>3</v>
      </c>
      <c r="C115" s="116" t="s">
        <v>105</v>
      </c>
      <c r="D115" s="106">
        <v>1378700</v>
      </c>
      <c r="E115" s="106">
        <f>0</f>
        <v>0</v>
      </c>
      <c r="F115" s="117">
        <f>SUM(D115:E115)</f>
        <v>1378700</v>
      </c>
      <c r="G115" s="106">
        <v>1378700</v>
      </c>
      <c r="H115" s="106">
        <f>0</f>
        <v>0</v>
      </c>
      <c r="I115" s="117">
        <f>SUM(G115:H115)</f>
        <v>1378700</v>
      </c>
    </row>
    <row r="116" spans="1:9">
      <c r="A116" s="119">
        <v>38</v>
      </c>
      <c r="B116" s="119">
        <v>5</v>
      </c>
      <c r="C116" s="116" t="s">
        <v>106</v>
      </c>
      <c r="D116" s="106">
        <v>382700</v>
      </c>
      <c r="E116" s="106">
        <v>100000</v>
      </c>
      <c r="F116" s="117">
        <f>SUM(D116:E116)</f>
        <v>482700</v>
      </c>
      <c r="G116" s="106">
        <v>382700</v>
      </c>
      <c r="H116" s="106">
        <v>100000</v>
      </c>
      <c r="I116" s="117">
        <f>SUM(G116:H116)</f>
        <v>482700</v>
      </c>
    </row>
    <row r="117" spans="1:9">
      <c r="A117" s="108" t="s">
        <v>58</v>
      </c>
      <c r="B117" s="109"/>
      <c r="C117" s="109"/>
      <c r="D117" s="110">
        <f>SUM(D113:D116)</f>
        <v>1861400</v>
      </c>
      <c r="E117" s="110">
        <f>SUM(E113:E116)</f>
        <v>160000</v>
      </c>
      <c r="F117" s="110">
        <f>SUM(D117:E117)</f>
        <v>2021400</v>
      </c>
      <c r="G117" s="110">
        <f>SUM(G113:G116)</f>
        <v>1861400</v>
      </c>
      <c r="H117" s="110">
        <f>SUM(H113:H116)</f>
        <v>160000</v>
      </c>
      <c r="I117" s="110">
        <f>SUM(G117:H117)</f>
        <v>2021400</v>
      </c>
    </row>
    <row r="118" spans="1:9">
      <c r="A118" s="108" t="s">
        <v>107</v>
      </c>
      <c r="B118" s="109"/>
      <c r="C118" s="109"/>
      <c r="D118" s="109"/>
      <c r="E118" s="109"/>
      <c r="F118" s="109"/>
      <c r="G118" s="109"/>
      <c r="H118" s="109"/>
      <c r="I118" s="113"/>
    </row>
    <row r="119" spans="1:9">
      <c r="A119" s="119">
        <v>39</v>
      </c>
      <c r="B119" s="119">
        <v>1</v>
      </c>
      <c r="C119" s="119" t="s">
        <v>108</v>
      </c>
      <c r="D119" s="106">
        <v>500000</v>
      </c>
      <c r="E119" s="106">
        <v>100000</v>
      </c>
      <c r="F119" s="117">
        <f>SUM(D119:E119)</f>
        <v>600000</v>
      </c>
      <c r="G119" s="106">
        <v>500000</v>
      </c>
      <c r="H119" s="106">
        <v>100000</v>
      </c>
      <c r="I119" s="117">
        <f>SUM(G119:H119)</f>
        <v>600000</v>
      </c>
    </row>
    <row r="120" spans="1:9">
      <c r="A120" s="108" t="s">
        <v>101</v>
      </c>
      <c r="B120" s="109"/>
      <c r="C120" s="109"/>
      <c r="D120" s="110">
        <f>D119</f>
        <v>500000</v>
      </c>
      <c r="E120" s="110">
        <f>E119</f>
        <v>100000</v>
      </c>
      <c r="F120" s="110">
        <f>SUM(D120:E120)</f>
        <v>600000</v>
      </c>
      <c r="G120" s="110">
        <f>G119</f>
        <v>500000</v>
      </c>
      <c r="H120" s="110">
        <f>H119</f>
        <v>100000</v>
      </c>
      <c r="I120" s="110">
        <f>SUM(G120:H120)</f>
        <v>600000</v>
      </c>
    </row>
    <row r="121" spans="1:9">
      <c r="A121" s="108" t="s">
        <v>109</v>
      </c>
      <c r="B121" s="109"/>
      <c r="C121" s="109"/>
      <c r="D121" s="109"/>
      <c r="E121" s="109"/>
      <c r="F121" s="109"/>
      <c r="G121" s="109"/>
      <c r="H121" s="109"/>
      <c r="I121" s="113"/>
    </row>
    <row r="122" spans="1:9">
      <c r="A122" s="119">
        <v>40</v>
      </c>
      <c r="B122" s="119">
        <v>1</v>
      </c>
      <c r="C122" s="121" t="s">
        <v>110</v>
      </c>
      <c r="D122" s="106">
        <v>1722296</v>
      </c>
      <c r="E122" s="106">
        <v>510650</v>
      </c>
      <c r="F122" s="117">
        <f>SUM(D122:E122)</f>
        <v>2232946</v>
      </c>
      <c r="G122" s="106">
        <v>1722296</v>
      </c>
      <c r="H122" s="106">
        <v>510650</v>
      </c>
      <c r="I122" s="117">
        <f>SUM(G122:H122)</f>
        <v>2232946</v>
      </c>
    </row>
    <row r="123" spans="1:9">
      <c r="A123" s="108" t="s">
        <v>101</v>
      </c>
      <c r="B123" s="109"/>
      <c r="C123" s="109"/>
      <c r="D123" s="110">
        <f>D122</f>
        <v>1722296</v>
      </c>
      <c r="E123" s="110">
        <f>E122</f>
        <v>510650</v>
      </c>
      <c r="F123" s="110">
        <f>SUM(D123:E123)</f>
        <v>2232946</v>
      </c>
      <c r="G123" s="110">
        <f>G122</f>
        <v>1722296</v>
      </c>
      <c r="H123" s="110">
        <f>H122</f>
        <v>510650</v>
      </c>
      <c r="I123" s="110">
        <f>SUM(G123:H123)</f>
        <v>2232946</v>
      </c>
    </row>
    <row r="124" spans="1:9">
      <c r="A124" s="108" t="s">
        <v>111</v>
      </c>
      <c r="B124" s="109"/>
      <c r="C124" s="109"/>
      <c r="D124" s="109"/>
      <c r="E124" s="109"/>
      <c r="F124" s="109"/>
      <c r="G124" s="109"/>
      <c r="H124" s="109"/>
      <c r="I124" s="113"/>
    </row>
    <row r="125" spans="1:9">
      <c r="A125" s="119">
        <v>41</v>
      </c>
      <c r="B125" s="119">
        <v>1</v>
      </c>
      <c r="C125" s="121" t="s">
        <v>112</v>
      </c>
      <c r="D125" s="106">
        <v>1654500</v>
      </c>
      <c r="E125" s="106">
        <v>649500</v>
      </c>
      <c r="F125" s="117">
        <f>SUM(D125:E125)</f>
        <v>2304000</v>
      </c>
      <c r="G125" s="106">
        <v>1654500</v>
      </c>
      <c r="H125" s="106">
        <v>649500</v>
      </c>
      <c r="I125" s="117">
        <f>SUM(G125:H125)</f>
        <v>2304000</v>
      </c>
    </row>
    <row r="126" spans="1:9">
      <c r="A126" s="119">
        <v>42</v>
      </c>
      <c r="B126" s="119">
        <v>2</v>
      </c>
      <c r="C126" s="121" t="s">
        <v>113</v>
      </c>
      <c r="D126" s="106">
        <f>0</f>
        <v>0</v>
      </c>
      <c r="E126" s="106">
        <v>330000</v>
      </c>
      <c r="F126" s="117">
        <f t="shared" ref="F126:F137" si="6">SUM(D126:E126)</f>
        <v>330000</v>
      </c>
      <c r="G126" s="106">
        <f>0</f>
        <v>0</v>
      </c>
      <c r="H126" s="106">
        <v>330000</v>
      </c>
      <c r="I126" s="117">
        <f t="shared" ref="I126:I144" si="7">SUM(G126:H126)</f>
        <v>330000</v>
      </c>
    </row>
    <row r="127" spans="1:9">
      <c r="A127" s="119">
        <v>43</v>
      </c>
      <c r="B127" s="119">
        <v>3</v>
      </c>
      <c r="C127" s="125" t="s">
        <v>114</v>
      </c>
      <c r="D127" s="106">
        <v>1623000</v>
      </c>
      <c r="E127" s="106">
        <f>0</f>
        <v>0</v>
      </c>
      <c r="F127" s="117">
        <f t="shared" si="6"/>
        <v>1623000</v>
      </c>
      <c r="G127" s="106">
        <v>1643000</v>
      </c>
      <c r="H127" s="106">
        <f>0</f>
        <v>0</v>
      </c>
      <c r="I127" s="117">
        <f t="shared" si="7"/>
        <v>1643000</v>
      </c>
    </row>
    <row r="128" spans="1:9">
      <c r="A128" s="119">
        <v>44</v>
      </c>
      <c r="B128" s="124">
        <v>4</v>
      </c>
      <c r="C128" s="125" t="s">
        <v>115</v>
      </c>
      <c r="D128" s="106">
        <f>0</f>
        <v>0</v>
      </c>
      <c r="E128" s="106">
        <f>224000+300000+260000</f>
        <v>784000</v>
      </c>
      <c r="F128" s="117">
        <f t="shared" si="6"/>
        <v>784000</v>
      </c>
      <c r="G128" s="106">
        <f>0</f>
        <v>0</v>
      </c>
      <c r="H128" s="106">
        <v>224000</v>
      </c>
      <c r="I128" s="117">
        <f t="shared" si="7"/>
        <v>224000</v>
      </c>
    </row>
    <row r="129" spans="1:9">
      <c r="A129" s="119">
        <v>45</v>
      </c>
      <c r="B129" s="119">
        <v>5</v>
      </c>
      <c r="C129" s="125" t="s">
        <v>116</v>
      </c>
      <c r="D129" s="106">
        <v>505700</v>
      </c>
      <c r="E129" s="106">
        <v>161000</v>
      </c>
      <c r="F129" s="117">
        <f t="shared" si="6"/>
        <v>666700</v>
      </c>
      <c r="G129" s="106">
        <v>505700</v>
      </c>
      <c r="H129" s="106">
        <v>161000</v>
      </c>
      <c r="I129" s="117">
        <f t="shared" si="7"/>
        <v>666700</v>
      </c>
    </row>
    <row r="130" spans="1:9">
      <c r="A130" s="119">
        <v>46</v>
      </c>
      <c r="B130" s="119">
        <v>6</v>
      </c>
      <c r="C130" s="125" t="s">
        <v>117</v>
      </c>
      <c r="D130" s="106">
        <f>0</f>
        <v>0</v>
      </c>
      <c r="E130" s="106">
        <f>0</f>
        <v>0</v>
      </c>
      <c r="F130" s="117">
        <f t="shared" si="6"/>
        <v>0</v>
      </c>
      <c r="G130" s="106">
        <f>801817+801817</f>
        <v>1603634</v>
      </c>
      <c r="H130" s="106">
        <f>135000+135000</f>
        <v>270000</v>
      </c>
      <c r="I130" s="117">
        <f t="shared" si="7"/>
        <v>1873634</v>
      </c>
    </row>
    <row r="131" spans="1:9">
      <c r="A131" s="119">
        <v>47</v>
      </c>
      <c r="B131" s="119">
        <v>7</v>
      </c>
      <c r="C131" s="125" t="s">
        <v>118</v>
      </c>
      <c r="D131" s="106">
        <v>724000</v>
      </c>
      <c r="E131" s="106">
        <v>150000</v>
      </c>
      <c r="F131" s="117">
        <f t="shared" si="6"/>
        <v>874000</v>
      </c>
      <c r="G131" s="106">
        <v>724000</v>
      </c>
      <c r="H131" s="106">
        <v>150000</v>
      </c>
      <c r="I131" s="117">
        <f t="shared" si="7"/>
        <v>874000</v>
      </c>
    </row>
    <row r="132" spans="1:9">
      <c r="A132" s="119">
        <v>48</v>
      </c>
      <c r="B132" s="119">
        <v>8</v>
      </c>
      <c r="C132" s="121" t="s">
        <v>119</v>
      </c>
      <c r="D132" s="106">
        <v>615000</v>
      </c>
      <c r="E132" s="106">
        <v>100000</v>
      </c>
      <c r="F132" s="117">
        <f t="shared" si="6"/>
        <v>715000</v>
      </c>
      <c r="G132" s="106">
        <v>615000</v>
      </c>
      <c r="H132" s="106">
        <v>100000</v>
      </c>
      <c r="I132" s="117">
        <f t="shared" si="7"/>
        <v>715000</v>
      </c>
    </row>
    <row r="133" spans="1:9">
      <c r="A133" s="119">
        <v>49</v>
      </c>
      <c r="B133" s="119">
        <v>9</v>
      </c>
      <c r="C133" s="121" t="s">
        <v>120</v>
      </c>
      <c r="D133" s="106">
        <v>554000</v>
      </c>
      <c r="E133" s="106">
        <v>225000</v>
      </c>
      <c r="F133" s="117">
        <f t="shared" si="6"/>
        <v>779000</v>
      </c>
      <c r="G133" s="106">
        <v>554000</v>
      </c>
      <c r="H133" s="106">
        <v>220000</v>
      </c>
      <c r="I133" s="117">
        <f t="shared" si="7"/>
        <v>774000</v>
      </c>
    </row>
    <row r="134" spans="1:9">
      <c r="A134" s="119">
        <v>50</v>
      </c>
      <c r="B134" s="119">
        <v>10</v>
      </c>
      <c r="C134" s="121" t="s">
        <v>121</v>
      </c>
      <c r="D134" s="106">
        <f>0</f>
        <v>0</v>
      </c>
      <c r="E134" s="106">
        <v>578335</v>
      </c>
      <c r="F134" s="117">
        <f t="shared" si="6"/>
        <v>578335</v>
      </c>
      <c r="G134" s="106">
        <f>0</f>
        <v>0</v>
      </c>
      <c r="H134" s="106">
        <v>578335</v>
      </c>
      <c r="I134" s="117">
        <f t="shared" si="7"/>
        <v>578335</v>
      </c>
    </row>
    <row r="135" spans="1:9">
      <c r="A135" s="119">
        <v>51</v>
      </c>
      <c r="B135" s="119">
        <v>11</v>
      </c>
      <c r="C135" s="121" t="s">
        <v>122</v>
      </c>
      <c r="D135" s="106">
        <v>1450300</v>
      </c>
      <c r="E135" s="106">
        <f>0</f>
        <v>0</v>
      </c>
      <c r="F135" s="117">
        <f t="shared" si="6"/>
        <v>1450300</v>
      </c>
      <c r="G135" s="106">
        <v>1450000</v>
      </c>
      <c r="H135" s="106">
        <f>0</f>
        <v>0</v>
      </c>
      <c r="I135" s="117">
        <f t="shared" si="7"/>
        <v>1450000</v>
      </c>
    </row>
    <row r="136" spans="1:9">
      <c r="A136" s="119">
        <v>52</v>
      </c>
      <c r="B136" s="119">
        <v>12</v>
      </c>
      <c r="C136" s="121" t="s">
        <v>123</v>
      </c>
      <c r="D136" s="106">
        <v>1741000</v>
      </c>
      <c r="E136" s="106">
        <f>0</f>
        <v>0</v>
      </c>
      <c r="F136" s="117">
        <f t="shared" si="6"/>
        <v>1741000</v>
      </c>
      <c r="G136" s="106">
        <v>1741000</v>
      </c>
      <c r="H136" s="106">
        <f>0</f>
        <v>0</v>
      </c>
      <c r="I136" s="117">
        <f t="shared" si="7"/>
        <v>1741000</v>
      </c>
    </row>
    <row r="137" spans="1:9">
      <c r="A137" s="119">
        <v>53</v>
      </c>
      <c r="B137" s="119">
        <v>13</v>
      </c>
      <c r="C137" s="121" t="s">
        <v>124</v>
      </c>
      <c r="D137" s="106">
        <f>0</f>
        <v>0</v>
      </c>
      <c r="E137" s="106">
        <f>0</f>
        <v>0</v>
      </c>
      <c r="F137" s="117">
        <f t="shared" si="6"/>
        <v>0</v>
      </c>
      <c r="G137" s="106">
        <v>1662000</v>
      </c>
      <c r="H137" s="106">
        <f>0</f>
        <v>0</v>
      </c>
      <c r="I137" s="117">
        <f t="shared" si="7"/>
        <v>1662000</v>
      </c>
    </row>
    <row r="138" spans="1:9">
      <c r="A138" s="119">
        <v>54</v>
      </c>
      <c r="B138" s="119">
        <v>14</v>
      </c>
      <c r="C138" s="121" t="s">
        <v>125</v>
      </c>
      <c r="D138" s="106">
        <v>229000</v>
      </c>
      <c r="E138" s="106">
        <v>155000</v>
      </c>
      <c r="F138" s="117">
        <f>SUM(D138:E138)</f>
        <v>384000</v>
      </c>
      <c r="G138" s="106">
        <v>229000</v>
      </c>
      <c r="H138" s="106">
        <v>150000</v>
      </c>
      <c r="I138" s="117">
        <f>SUM(G138:H138)</f>
        <v>379000</v>
      </c>
    </row>
    <row r="139" spans="1:9">
      <c r="A139" s="119">
        <v>55</v>
      </c>
      <c r="B139" s="119">
        <v>15</v>
      </c>
      <c r="C139" s="121" t="s">
        <v>126</v>
      </c>
      <c r="D139" s="106">
        <v>1200000</v>
      </c>
      <c r="E139" s="106">
        <v>270000</v>
      </c>
      <c r="F139" s="117">
        <f t="shared" ref="F139:F144" si="8">SUM(D139:E139)</f>
        <v>1470000</v>
      </c>
      <c r="G139" s="106">
        <v>1250000</v>
      </c>
      <c r="H139" s="106">
        <v>250000</v>
      </c>
      <c r="I139" s="117">
        <f t="shared" si="7"/>
        <v>1500000</v>
      </c>
    </row>
    <row r="140" spans="1:9">
      <c r="A140" s="119">
        <v>56</v>
      </c>
      <c r="B140" s="119">
        <v>16</v>
      </c>
      <c r="C140" s="121" t="s">
        <v>127</v>
      </c>
      <c r="D140" s="106">
        <v>1116000</v>
      </c>
      <c r="E140" s="106">
        <f>0</f>
        <v>0</v>
      </c>
      <c r="F140" s="117">
        <f t="shared" si="8"/>
        <v>1116000</v>
      </c>
      <c r="G140" s="106">
        <v>1116000</v>
      </c>
      <c r="H140" s="106">
        <f>0</f>
        <v>0</v>
      </c>
      <c r="I140" s="117">
        <f t="shared" si="7"/>
        <v>1116000</v>
      </c>
    </row>
    <row r="141" spans="1:9">
      <c r="A141" s="119">
        <v>57</v>
      </c>
      <c r="B141" s="119">
        <v>17</v>
      </c>
      <c r="C141" s="121" t="s">
        <v>128</v>
      </c>
      <c r="D141" s="106">
        <v>1375000</v>
      </c>
      <c r="E141" s="106">
        <f>0</f>
        <v>0</v>
      </c>
      <c r="F141" s="117">
        <f t="shared" si="8"/>
        <v>1375000</v>
      </c>
      <c r="G141" s="106">
        <v>1356000</v>
      </c>
      <c r="H141" s="106">
        <f>0</f>
        <v>0</v>
      </c>
      <c r="I141" s="117">
        <f t="shared" si="7"/>
        <v>1356000</v>
      </c>
    </row>
    <row r="142" spans="1:9">
      <c r="A142" s="119">
        <v>58</v>
      </c>
      <c r="B142" s="119">
        <v>18</v>
      </c>
      <c r="C142" s="121" t="s">
        <v>129</v>
      </c>
      <c r="D142" s="106">
        <v>1247000</v>
      </c>
      <c r="E142" s="106">
        <v>120000</v>
      </c>
      <c r="F142" s="117">
        <f t="shared" si="8"/>
        <v>1367000</v>
      </c>
      <c r="G142" s="106">
        <v>1247000</v>
      </c>
      <c r="H142" s="106">
        <v>120000</v>
      </c>
      <c r="I142" s="117">
        <f t="shared" si="7"/>
        <v>1367000</v>
      </c>
    </row>
    <row r="143" spans="1:9">
      <c r="A143" s="119">
        <v>59</v>
      </c>
      <c r="B143" s="119">
        <v>19</v>
      </c>
      <c r="C143" s="121" t="s">
        <v>130</v>
      </c>
      <c r="D143" s="106">
        <v>260618</v>
      </c>
      <c r="E143" s="106">
        <f>0</f>
        <v>0</v>
      </c>
      <c r="F143" s="117">
        <f t="shared" si="8"/>
        <v>260618</v>
      </c>
      <c r="G143" s="106">
        <v>260618</v>
      </c>
      <c r="H143" s="106">
        <v>260000</v>
      </c>
      <c r="I143" s="117">
        <f t="shared" si="7"/>
        <v>520618</v>
      </c>
    </row>
    <row r="144" spans="1:9">
      <c r="A144" s="119">
        <v>60</v>
      </c>
      <c r="B144" s="119">
        <v>20</v>
      </c>
      <c r="C144" s="121" t="s">
        <v>131</v>
      </c>
      <c r="D144" s="106">
        <v>634248</v>
      </c>
      <c r="E144" s="106">
        <v>305000</v>
      </c>
      <c r="F144" s="117">
        <f t="shared" si="8"/>
        <v>939248</v>
      </c>
      <c r="G144" s="106">
        <v>739873</v>
      </c>
      <c r="H144" s="106">
        <v>190000</v>
      </c>
      <c r="I144" s="117">
        <f t="shared" si="7"/>
        <v>929873</v>
      </c>
    </row>
    <row r="145" spans="1:9">
      <c r="A145" s="108" t="s">
        <v>58</v>
      </c>
      <c r="B145" s="109"/>
      <c r="C145" s="109"/>
      <c r="D145" s="110">
        <f>SUM(D125:D144)</f>
        <v>14929366</v>
      </c>
      <c r="E145" s="110">
        <f>SUM(E125:E144)</f>
        <v>3827835</v>
      </c>
      <c r="F145" s="110">
        <f>SUM(D145:E145)</f>
        <v>18757201</v>
      </c>
      <c r="G145" s="110">
        <f>SUM(G125:G144)</f>
        <v>18351325</v>
      </c>
      <c r="H145" s="110">
        <f>SUM(H125:H144)</f>
        <v>3652835</v>
      </c>
      <c r="I145" s="110">
        <f>SUM(G145:H145)</f>
        <v>22004160</v>
      </c>
    </row>
    <row r="146" spans="1:9">
      <c r="A146" s="126" t="s">
        <v>132</v>
      </c>
      <c r="B146" s="127"/>
      <c r="C146" s="127"/>
      <c r="D146" s="127"/>
      <c r="E146" s="127"/>
      <c r="F146" s="127"/>
      <c r="G146" s="127"/>
      <c r="H146" s="127"/>
      <c r="I146" s="128"/>
    </row>
    <row r="147" spans="1:9">
      <c r="A147" s="119">
        <v>61</v>
      </c>
      <c r="B147" s="119">
        <v>1</v>
      </c>
      <c r="C147" s="125" t="s">
        <v>133</v>
      </c>
      <c r="D147" s="106">
        <v>1599760</v>
      </c>
      <c r="E147" s="106">
        <v>928800</v>
      </c>
      <c r="F147" s="117">
        <f>SUM(D147:E147)</f>
        <v>2528560</v>
      </c>
      <c r="G147" s="106">
        <v>1514395</v>
      </c>
      <c r="H147" s="106">
        <v>920800</v>
      </c>
      <c r="I147" s="117">
        <f>SUM(G147:H147)</f>
        <v>2435195</v>
      </c>
    </row>
    <row r="148" spans="1:9">
      <c r="A148" s="119">
        <v>62</v>
      </c>
      <c r="B148" s="119">
        <v>2</v>
      </c>
      <c r="C148" s="125" t="s">
        <v>134</v>
      </c>
      <c r="D148" s="106">
        <v>161500</v>
      </c>
      <c r="E148" s="106">
        <v>289000</v>
      </c>
      <c r="F148" s="117">
        <f t="shared" ref="F148:F166" si="9">SUM(D148:E148)</f>
        <v>450500</v>
      </c>
      <c r="G148" s="106">
        <v>261500</v>
      </c>
      <c r="H148" s="106">
        <v>289000</v>
      </c>
      <c r="I148" s="117">
        <f t="shared" ref="I148:I166" si="10">SUM(G148:H148)</f>
        <v>550500</v>
      </c>
    </row>
    <row r="149" spans="1:9">
      <c r="A149" s="119">
        <v>63</v>
      </c>
      <c r="B149" s="119">
        <v>3</v>
      </c>
      <c r="C149" s="125" t="s">
        <v>135</v>
      </c>
      <c r="D149" s="106">
        <v>1425700</v>
      </c>
      <c r="E149" s="106">
        <v>1247500</v>
      </c>
      <c r="F149" s="117">
        <f t="shared" si="9"/>
        <v>2673200</v>
      </c>
      <c r="G149" s="106">
        <v>1425700</v>
      </c>
      <c r="H149" s="106">
        <v>1247500</v>
      </c>
      <c r="I149" s="117">
        <f t="shared" si="10"/>
        <v>2673200</v>
      </c>
    </row>
    <row r="150" spans="1:9">
      <c r="A150" s="119">
        <v>64</v>
      </c>
      <c r="B150" s="119">
        <v>4</v>
      </c>
      <c r="C150" s="125" t="s">
        <v>136</v>
      </c>
      <c r="D150" s="106">
        <f>0</f>
        <v>0</v>
      </c>
      <c r="E150" s="106">
        <f>0</f>
        <v>0</v>
      </c>
      <c r="F150" s="117">
        <f t="shared" si="9"/>
        <v>0</v>
      </c>
      <c r="G150" s="106">
        <v>300000</v>
      </c>
      <c r="H150" s="106">
        <f>0</f>
        <v>0</v>
      </c>
      <c r="I150" s="117">
        <f t="shared" si="10"/>
        <v>300000</v>
      </c>
    </row>
    <row r="151" spans="1:9">
      <c r="A151" s="119">
        <v>65</v>
      </c>
      <c r="B151" s="119">
        <v>5</v>
      </c>
      <c r="C151" s="129" t="s">
        <v>137</v>
      </c>
      <c r="D151" s="106">
        <v>1062000</v>
      </c>
      <c r="E151" s="106">
        <v>300000</v>
      </c>
      <c r="F151" s="117">
        <f t="shared" si="9"/>
        <v>1362000</v>
      </c>
      <c r="G151" s="106">
        <f>0</f>
        <v>0</v>
      </c>
      <c r="H151" s="106">
        <f>0</f>
        <v>0</v>
      </c>
      <c r="I151" s="117">
        <f t="shared" si="10"/>
        <v>0</v>
      </c>
    </row>
    <row r="152" spans="1:9">
      <c r="A152" s="119">
        <v>66</v>
      </c>
      <c r="B152" s="119">
        <v>6</v>
      </c>
      <c r="C152" s="125" t="s">
        <v>138</v>
      </c>
      <c r="D152" s="106">
        <v>794000</v>
      </c>
      <c r="E152" s="106">
        <v>1426000</v>
      </c>
      <c r="F152" s="117">
        <f t="shared" si="9"/>
        <v>2220000</v>
      </c>
      <c r="G152" s="106">
        <v>794000</v>
      </c>
      <c r="H152" s="106">
        <v>1406000</v>
      </c>
      <c r="I152" s="117">
        <f t="shared" si="10"/>
        <v>2200000</v>
      </c>
    </row>
    <row r="153" spans="1:9">
      <c r="A153" s="119">
        <v>67</v>
      </c>
      <c r="B153" s="119">
        <v>7</v>
      </c>
      <c r="C153" s="125" t="s">
        <v>139</v>
      </c>
      <c r="D153" s="106">
        <v>412000</v>
      </c>
      <c r="E153" s="106">
        <v>501000</v>
      </c>
      <c r="F153" s="117">
        <f t="shared" si="9"/>
        <v>913000</v>
      </c>
      <c r="G153" s="106">
        <v>412000</v>
      </c>
      <c r="H153" s="106">
        <v>501000</v>
      </c>
      <c r="I153" s="117">
        <f t="shared" si="10"/>
        <v>913000</v>
      </c>
    </row>
    <row r="154" spans="1:9">
      <c r="A154" s="119">
        <v>68</v>
      </c>
      <c r="B154" s="119">
        <v>8</v>
      </c>
      <c r="C154" s="125" t="s">
        <v>140</v>
      </c>
      <c r="D154" s="106">
        <v>561675</v>
      </c>
      <c r="E154" s="106">
        <v>1085000</v>
      </c>
      <c r="F154" s="117">
        <f t="shared" si="9"/>
        <v>1646675</v>
      </c>
      <c r="G154" s="106">
        <v>561675</v>
      </c>
      <c r="H154" s="106">
        <v>1085000</v>
      </c>
      <c r="I154" s="117">
        <f t="shared" si="10"/>
        <v>1646675</v>
      </c>
    </row>
    <row r="155" spans="1:9">
      <c r="A155" s="119">
        <v>69</v>
      </c>
      <c r="B155" s="119">
        <v>9</v>
      </c>
      <c r="C155" s="125" t="s">
        <v>141</v>
      </c>
      <c r="D155" s="106">
        <v>346000</v>
      </c>
      <c r="E155" s="106">
        <v>520000</v>
      </c>
      <c r="F155" s="117">
        <f t="shared" si="9"/>
        <v>866000</v>
      </c>
      <c r="G155" s="106">
        <v>340000</v>
      </c>
      <c r="H155" s="106">
        <v>510000</v>
      </c>
      <c r="I155" s="117">
        <f t="shared" si="10"/>
        <v>850000</v>
      </c>
    </row>
    <row r="156" spans="1:9">
      <c r="A156" s="119">
        <v>70</v>
      </c>
      <c r="B156" s="119">
        <v>10</v>
      </c>
      <c r="C156" s="125" t="s">
        <v>142</v>
      </c>
      <c r="D156" s="106">
        <v>357100</v>
      </c>
      <c r="E156" s="106">
        <v>107000</v>
      </c>
      <c r="F156" s="117">
        <f t="shared" si="9"/>
        <v>464100</v>
      </c>
      <c r="G156" s="106">
        <v>357100</v>
      </c>
      <c r="H156" s="106">
        <v>102000</v>
      </c>
      <c r="I156" s="117">
        <f t="shared" si="10"/>
        <v>459100</v>
      </c>
    </row>
    <row r="157" spans="1:9">
      <c r="A157" s="119">
        <v>71</v>
      </c>
      <c r="B157" s="119">
        <v>11</v>
      </c>
      <c r="C157" s="125" t="s">
        <v>143</v>
      </c>
      <c r="D157" s="106">
        <f>0</f>
        <v>0</v>
      </c>
      <c r="E157" s="106">
        <f>0</f>
        <v>0</v>
      </c>
      <c r="F157" s="117">
        <f t="shared" si="9"/>
        <v>0</v>
      </c>
      <c r="G157" s="106">
        <v>300000</v>
      </c>
      <c r="H157" s="106">
        <v>600000</v>
      </c>
      <c r="I157" s="117">
        <f t="shared" si="10"/>
        <v>900000</v>
      </c>
    </row>
    <row r="158" spans="1:9">
      <c r="A158" s="119">
        <v>72</v>
      </c>
      <c r="B158" s="119">
        <v>12</v>
      </c>
      <c r="C158" s="125" t="s">
        <v>144</v>
      </c>
      <c r="D158" s="106">
        <f>0</f>
        <v>0</v>
      </c>
      <c r="E158" s="106">
        <f>0</f>
        <v>0</v>
      </c>
      <c r="F158" s="117">
        <f t="shared" si="9"/>
        <v>0</v>
      </c>
      <c r="G158" s="106">
        <v>185000</v>
      </c>
      <c r="H158" s="106">
        <v>824000</v>
      </c>
      <c r="I158" s="117">
        <f t="shared" si="10"/>
        <v>1009000</v>
      </c>
    </row>
    <row r="159" spans="1:9">
      <c r="A159" s="119">
        <v>73</v>
      </c>
      <c r="B159" s="119">
        <v>13</v>
      </c>
      <c r="C159" s="125" t="s">
        <v>145</v>
      </c>
      <c r="D159" s="106">
        <f>0</f>
        <v>0</v>
      </c>
      <c r="E159" s="106">
        <v>500000</v>
      </c>
      <c r="F159" s="117">
        <f t="shared" si="9"/>
        <v>500000</v>
      </c>
      <c r="G159" s="106">
        <f>0</f>
        <v>0</v>
      </c>
      <c r="H159" s="219">
        <v>500000</v>
      </c>
      <c r="I159" s="117">
        <f t="shared" si="10"/>
        <v>500000</v>
      </c>
    </row>
    <row r="160" spans="1:9">
      <c r="A160" s="119">
        <v>74</v>
      </c>
      <c r="B160" s="119">
        <v>14</v>
      </c>
      <c r="C160" s="129" t="s">
        <v>146</v>
      </c>
      <c r="D160" s="106">
        <f>0</f>
        <v>0</v>
      </c>
      <c r="E160" s="106">
        <f>1090000+1090000+1090000</f>
        <v>3270000</v>
      </c>
      <c r="F160" s="117">
        <f t="shared" si="9"/>
        <v>3270000</v>
      </c>
      <c r="G160" s="106">
        <f>0</f>
        <v>0</v>
      </c>
      <c r="H160" s="106">
        <f>0</f>
        <v>0</v>
      </c>
      <c r="I160" s="117">
        <f t="shared" si="10"/>
        <v>0</v>
      </c>
    </row>
    <row r="161" spans="1:9">
      <c r="A161" s="119">
        <v>75</v>
      </c>
      <c r="B161" s="119">
        <v>15</v>
      </c>
      <c r="C161" s="125" t="s">
        <v>147</v>
      </c>
      <c r="D161" s="106">
        <f>0</f>
        <v>0</v>
      </c>
      <c r="E161" s="106">
        <v>1070000</v>
      </c>
      <c r="F161" s="117">
        <f t="shared" si="9"/>
        <v>1070000</v>
      </c>
      <c r="G161" s="106">
        <f>0</f>
        <v>0</v>
      </c>
      <c r="H161" s="106">
        <v>1046000</v>
      </c>
      <c r="I161" s="117">
        <f t="shared" si="10"/>
        <v>1046000</v>
      </c>
    </row>
    <row r="162" spans="1:9">
      <c r="A162" s="119">
        <v>76</v>
      </c>
      <c r="B162" s="119">
        <v>16</v>
      </c>
      <c r="C162" s="125" t="s">
        <v>148</v>
      </c>
      <c r="D162" s="106">
        <f>0</f>
        <v>0</v>
      </c>
      <c r="E162" s="106">
        <v>2289000</v>
      </c>
      <c r="F162" s="117">
        <f t="shared" si="9"/>
        <v>2289000</v>
      </c>
      <c r="G162" s="106">
        <f>0</f>
        <v>0</v>
      </c>
      <c r="H162" s="106">
        <v>2289000</v>
      </c>
      <c r="I162" s="117">
        <f t="shared" si="10"/>
        <v>2289000</v>
      </c>
    </row>
    <row r="163" spans="1:9">
      <c r="A163" s="119">
        <v>77</v>
      </c>
      <c r="B163" s="119">
        <v>17</v>
      </c>
      <c r="C163" s="125" t="s">
        <v>149</v>
      </c>
      <c r="D163" s="106">
        <f>0</f>
        <v>0</v>
      </c>
      <c r="E163" s="106">
        <v>763000</v>
      </c>
      <c r="F163" s="117">
        <f t="shared" si="9"/>
        <v>763000</v>
      </c>
      <c r="G163" s="106">
        <f>0</f>
        <v>0</v>
      </c>
      <c r="H163" s="106">
        <v>763000</v>
      </c>
      <c r="I163" s="117">
        <f t="shared" si="10"/>
        <v>763000</v>
      </c>
    </row>
    <row r="164" spans="1:9">
      <c r="A164" s="119">
        <v>78</v>
      </c>
      <c r="B164" s="119">
        <v>18</v>
      </c>
      <c r="C164" s="121" t="s">
        <v>150</v>
      </c>
      <c r="D164" s="106">
        <f>0</f>
        <v>0</v>
      </c>
      <c r="E164" s="106">
        <f>0</f>
        <v>0</v>
      </c>
      <c r="F164" s="117">
        <f t="shared" si="9"/>
        <v>0</v>
      </c>
      <c r="G164" s="106">
        <v>229042</v>
      </c>
      <c r="H164" s="106">
        <v>2751980</v>
      </c>
      <c r="I164" s="117">
        <f t="shared" si="10"/>
        <v>2981022</v>
      </c>
    </row>
    <row r="165" spans="1:9">
      <c r="A165" s="119">
        <v>79</v>
      </c>
      <c r="B165" s="119">
        <v>19</v>
      </c>
      <c r="C165" s="121" t="s">
        <v>151</v>
      </c>
      <c r="D165" s="106">
        <f>0</f>
        <v>0</v>
      </c>
      <c r="E165" s="106">
        <f>0</f>
        <v>0</v>
      </c>
      <c r="F165" s="117">
        <f t="shared" si="9"/>
        <v>0</v>
      </c>
      <c r="G165" s="106">
        <v>546000</v>
      </c>
      <c r="H165" s="106">
        <v>1441600</v>
      </c>
      <c r="I165" s="117">
        <f t="shared" si="10"/>
        <v>1987600</v>
      </c>
    </row>
    <row r="166" spans="1:9">
      <c r="A166" s="119">
        <v>80</v>
      </c>
      <c r="B166" s="119">
        <v>20</v>
      </c>
      <c r="C166" s="121" t="s">
        <v>152</v>
      </c>
      <c r="D166" s="106">
        <v>309000</v>
      </c>
      <c r="E166" s="106">
        <v>702000</v>
      </c>
      <c r="F166" s="117">
        <f t="shared" si="9"/>
        <v>1011000</v>
      </c>
      <c r="G166" s="106">
        <v>309000</v>
      </c>
      <c r="H166" s="106">
        <v>703000</v>
      </c>
      <c r="I166" s="117">
        <f t="shared" si="10"/>
        <v>1012000</v>
      </c>
    </row>
    <row r="167" spans="1:9">
      <c r="A167" s="108" t="s">
        <v>58</v>
      </c>
      <c r="B167" s="109"/>
      <c r="C167" s="109"/>
      <c r="D167" s="110">
        <f>SUM(D147:D166)</f>
        <v>7028735</v>
      </c>
      <c r="E167" s="110">
        <f>SUM(E147:E166)</f>
        <v>14998300</v>
      </c>
      <c r="F167" s="110">
        <f>SUM(D167:E167)</f>
        <v>22027035</v>
      </c>
      <c r="G167" s="110">
        <f>SUM(G147:G166)</f>
        <v>7535412</v>
      </c>
      <c r="H167" s="110">
        <f>SUM(H147:H166)</f>
        <v>16979880</v>
      </c>
      <c r="I167" s="110">
        <f>SUM(G167:H167)</f>
        <v>24515292</v>
      </c>
    </row>
    <row r="168" spans="1:9">
      <c r="A168" s="108" t="s">
        <v>153</v>
      </c>
      <c r="B168" s="109"/>
      <c r="C168" s="109"/>
      <c r="D168" s="109"/>
      <c r="E168" s="109"/>
      <c r="F168" s="109"/>
      <c r="G168" s="109"/>
      <c r="H168" s="109"/>
      <c r="I168" s="113"/>
    </row>
    <row r="169" spans="1:9">
      <c r="A169" s="119">
        <v>81</v>
      </c>
      <c r="B169" s="119">
        <v>1</v>
      </c>
      <c r="C169" s="121" t="s">
        <v>154</v>
      </c>
      <c r="D169" s="106">
        <v>1392225</v>
      </c>
      <c r="E169" s="106">
        <v>107500</v>
      </c>
      <c r="F169" s="117">
        <f>SUM(D169:E169)</f>
        <v>1499725</v>
      </c>
      <c r="G169" s="106">
        <v>1392225</v>
      </c>
      <c r="H169" s="106">
        <v>107000</v>
      </c>
      <c r="I169" s="117">
        <f>SUM(G169:H169)</f>
        <v>1499225</v>
      </c>
    </row>
    <row r="170" spans="1:9">
      <c r="A170" s="119">
        <v>82</v>
      </c>
      <c r="B170" s="119">
        <v>2</v>
      </c>
      <c r="C170" s="121" t="s">
        <v>155</v>
      </c>
      <c r="D170" s="106">
        <f>0</f>
        <v>0</v>
      </c>
      <c r="E170" s="106">
        <v>30000</v>
      </c>
      <c r="F170" s="117">
        <f t="shared" ref="F170:F188" si="11">SUM(D170:E170)</f>
        <v>30000</v>
      </c>
      <c r="G170" s="106">
        <f>0</f>
        <v>0</v>
      </c>
      <c r="H170" s="106">
        <v>30000</v>
      </c>
      <c r="I170" s="117">
        <f t="shared" ref="I170:I191" si="12">SUM(G170:H170)</f>
        <v>30000</v>
      </c>
    </row>
    <row r="171" spans="1:9">
      <c r="A171" s="119">
        <v>83</v>
      </c>
      <c r="B171" s="119">
        <v>3</v>
      </c>
      <c r="C171" s="121" t="s">
        <v>156</v>
      </c>
      <c r="D171" s="106">
        <f>0</f>
        <v>0</v>
      </c>
      <c r="E171" s="106">
        <f>250000+45000</f>
        <v>295000</v>
      </c>
      <c r="F171" s="117">
        <f t="shared" si="11"/>
        <v>295000</v>
      </c>
      <c r="G171" s="106">
        <f>0</f>
        <v>0</v>
      </c>
      <c r="H171" s="106">
        <f>45000+255000</f>
        <v>300000</v>
      </c>
      <c r="I171" s="117">
        <f t="shared" si="12"/>
        <v>300000</v>
      </c>
    </row>
    <row r="172" spans="1:9">
      <c r="A172" s="119">
        <v>84</v>
      </c>
      <c r="B172" s="119">
        <v>4</v>
      </c>
      <c r="C172" s="121" t="s">
        <v>157</v>
      </c>
      <c r="D172" s="106">
        <f>560000+150000</f>
        <v>710000</v>
      </c>
      <c r="E172" s="106">
        <f>147000+121000</f>
        <v>268000</v>
      </c>
      <c r="F172" s="117">
        <f t="shared" si="11"/>
        <v>978000</v>
      </c>
      <c r="G172" s="106">
        <f>0</f>
        <v>0</v>
      </c>
      <c r="H172" s="106">
        <f>0</f>
        <v>0</v>
      </c>
      <c r="I172" s="117">
        <f t="shared" si="12"/>
        <v>0</v>
      </c>
    </row>
    <row r="173" spans="1:9">
      <c r="A173" s="119">
        <v>85</v>
      </c>
      <c r="B173" s="119">
        <v>5</v>
      </c>
      <c r="C173" s="121" t="s">
        <v>158</v>
      </c>
      <c r="D173" s="106">
        <f>0</f>
        <v>0</v>
      </c>
      <c r="E173" s="106">
        <f>0</f>
        <v>0</v>
      </c>
      <c r="F173" s="117">
        <f t="shared" si="11"/>
        <v>0</v>
      </c>
      <c r="G173" s="106">
        <f>0</f>
        <v>0</v>
      </c>
      <c r="H173" s="106">
        <f>0</f>
        <v>0</v>
      </c>
      <c r="I173" s="117">
        <f t="shared" si="12"/>
        <v>0</v>
      </c>
    </row>
    <row r="174" spans="1:9">
      <c r="A174" s="119">
        <v>86</v>
      </c>
      <c r="B174" s="119">
        <v>6</v>
      </c>
      <c r="C174" s="125" t="s">
        <v>159</v>
      </c>
      <c r="D174" s="106">
        <v>20000000</v>
      </c>
      <c r="E174" s="106">
        <f>0</f>
        <v>0</v>
      </c>
      <c r="F174" s="117">
        <f t="shared" si="11"/>
        <v>20000000</v>
      </c>
      <c r="G174" s="106">
        <v>20000000</v>
      </c>
      <c r="H174" s="106">
        <f>0</f>
        <v>0</v>
      </c>
      <c r="I174" s="117">
        <f t="shared" si="12"/>
        <v>20000000</v>
      </c>
    </row>
    <row r="175" spans="1:9">
      <c r="A175" s="119">
        <v>87</v>
      </c>
      <c r="B175" s="119">
        <v>7</v>
      </c>
      <c r="C175" s="121" t="s">
        <v>160</v>
      </c>
      <c r="D175" s="106">
        <f>0</f>
        <v>0</v>
      </c>
      <c r="E175" s="106">
        <f>0</f>
        <v>0</v>
      </c>
      <c r="F175" s="117">
        <f t="shared" si="11"/>
        <v>0</v>
      </c>
      <c r="G175" s="106">
        <f>0</f>
        <v>0</v>
      </c>
      <c r="H175" s="106">
        <f>0</f>
        <v>0</v>
      </c>
      <c r="I175" s="117">
        <f t="shared" si="12"/>
        <v>0</v>
      </c>
    </row>
    <row r="176" spans="1:9">
      <c r="A176" s="119">
        <v>88</v>
      </c>
      <c r="B176" s="119">
        <v>8</v>
      </c>
      <c r="C176" s="121" t="s">
        <v>161</v>
      </c>
      <c r="D176" s="106">
        <f>0</f>
        <v>0</v>
      </c>
      <c r="E176" s="106">
        <f>0</f>
        <v>0</v>
      </c>
      <c r="F176" s="117">
        <f t="shared" si="11"/>
        <v>0</v>
      </c>
      <c r="G176" s="106">
        <f>0</f>
        <v>0</v>
      </c>
      <c r="H176" s="106">
        <f>0</f>
        <v>0</v>
      </c>
      <c r="I176" s="117">
        <f t="shared" si="12"/>
        <v>0</v>
      </c>
    </row>
    <row r="177" spans="1:9">
      <c r="A177" s="119">
        <v>89</v>
      </c>
      <c r="B177" s="119">
        <v>9</v>
      </c>
      <c r="C177" s="121" t="s">
        <v>162</v>
      </c>
      <c r="D177" s="106">
        <f>0</f>
        <v>0</v>
      </c>
      <c r="E177" s="106">
        <f>0</f>
        <v>0</v>
      </c>
      <c r="F177" s="117">
        <f t="shared" si="11"/>
        <v>0</v>
      </c>
      <c r="G177" s="106">
        <f>0</f>
        <v>0</v>
      </c>
      <c r="H177" s="106">
        <f>0</f>
        <v>0</v>
      </c>
      <c r="I177" s="117">
        <f t="shared" si="12"/>
        <v>0</v>
      </c>
    </row>
    <row r="178" spans="1:9">
      <c r="A178" s="119">
        <v>90</v>
      </c>
      <c r="B178" s="119">
        <v>10</v>
      </c>
      <c r="C178" s="121" t="s">
        <v>163</v>
      </c>
      <c r="D178" s="106">
        <f>0</f>
        <v>0</v>
      </c>
      <c r="E178" s="106">
        <f>0</f>
        <v>0</v>
      </c>
      <c r="F178" s="117">
        <f t="shared" si="11"/>
        <v>0</v>
      </c>
      <c r="G178" s="106">
        <f>0</f>
        <v>0</v>
      </c>
      <c r="H178" s="106">
        <f>0</f>
        <v>0</v>
      </c>
      <c r="I178" s="117">
        <f t="shared" si="12"/>
        <v>0</v>
      </c>
    </row>
    <row r="179" spans="1:9">
      <c r="A179" s="119">
        <v>91</v>
      </c>
      <c r="B179" s="119">
        <v>11</v>
      </c>
      <c r="C179" s="121" t="s">
        <v>164</v>
      </c>
      <c r="D179" s="106">
        <v>9163761</v>
      </c>
      <c r="E179" s="106">
        <f>0</f>
        <v>0</v>
      </c>
      <c r="F179" s="117">
        <f t="shared" si="11"/>
        <v>9163761</v>
      </c>
      <c r="G179" s="106">
        <v>9320843</v>
      </c>
      <c r="H179" s="106">
        <f>0</f>
        <v>0</v>
      </c>
      <c r="I179" s="117">
        <f t="shared" si="12"/>
        <v>9320843</v>
      </c>
    </row>
    <row r="180" spans="1:9">
      <c r="A180" s="119">
        <v>92</v>
      </c>
      <c r="B180" s="119">
        <v>12</v>
      </c>
      <c r="C180" s="121" t="s">
        <v>165</v>
      </c>
      <c r="D180" s="106">
        <f>0</f>
        <v>0</v>
      </c>
      <c r="E180" s="106">
        <f>0</f>
        <v>0</v>
      </c>
      <c r="F180" s="117">
        <f t="shared" si="11"/>
        <v>0</v>
      </c>
      <c r="G180" s="106">
        <f>0</f>
        <v>0</v>
      </c>
      <c r="H180" s="106">
        <f>0</f>
        <v>0</v>
      </c>
      <c r="I180" s="117">
        <f t="shared" si="12"/>
        <v>0</v>
      </c>
    </row>
    <row r="181" spans="1:9">
      <c r="A181" s="119">
        <v>93</v>
      </c>
      <c r="B181" s="119">
        <v>13</v>
      </c>
      <c r="C181" s="121" t="s">
        <v>166</v>
      </c>
      <c r="D181" s="106">
        <f>0</f>
        <v>0</v>
      </c>
      <c r="E181" s="106">
        <f>86000+86000</f>
        <v>172000</v>
      </c>
      <c r="F181" s="117">
        <f t="shared" si="11"/>
        <v>172000</v>
      </c>
      <c r="G181" s="106">
        <f>0</f>
        <v>0</v>
      </c>
      <c r="H181" s="106">
        <f>86000+86000</f>
        <v>172000</v>
      </c>
      <c r="I181" s="117">
        <f t="shared" si="12"/>
        <v>172000</v>
      </c>
    </row>
    <row r="182" spans="1:9">
      <c r="A182" s="119">
        <v>94</v>
      </c>
      <c r="B182" s="119">
        <v>14</v>
      </c>
      <c r="C182" s="121" t="s">
        <v>167</v>
      </c>
      <c r="D182" s="106">
        <v>1753750</v>
      </c>
      <c r="E182" s="106">
        <v>71500</v>
      </c>
      <c r="F182" s="117">
        <f t="shared" si="11"/>
        <v>1825250</v>
      </c>
      <c r="G182" s="106">
        <f>0</f>
        <v>0</v>
      </c>
      <c r="H182" s="106">
        <v>71500</v>
      </c>
      <c r="I182" s="117">
        <f t="shared" si="12"/>
        <v>71500</v>
      </c>
    </row>
    <row r="183" spans="1:9">
      <c r="A183" s="119">
        <v>95</v>
      </c>
      <c r="B183" s="119">
        <v>15</v>
      </c>
      <c r="C183" s="121" t="s">
        <v>168</v>
      </c>
      <c r="D183" s="106">
        <v>460000</v>
      </c>
      <c r="E183" s="106">
        <v>410000</v>
      </c>
      <c r="F183" s="117">
        <f t="shared" si="11"/>
        <v>870000</v>
      </c>
      <c r="G183" s="106">
        <v>460000</v>
      </c>
      <c r="H183" s="106">
        <v>403000</v>
      </c>
      <c r="I183" s="117">
        <f t="shared" si="12"/>
        <v>863000</v>
      </c>
    </row>
    <row r="184" spans="1:9">
      <c r="A184" s="119">
        <v>96</v>
      </c>
      <c r="B184" s="119">
        <v>16</v>
      </c>
      <c r="C184" s="121" t="s">
        <v>428</v>
      </c>
      <c r="D184" s="106">
        <v>997100</v>
      </c>
      <c r="E184" s="106">
        <f>340000+403000</f>
        <v>743000</v>
      </c>
      <c r="F184" s="117">
        <f t="shared" si="11"/>
        <v>1740100</v>
      </c>
      <c r="G184" s="106">
        <v>997100</v>
      </c>
      <c r="H184" s="106">
        <f>404000+340000</f>
        <v>744000</v>
      </c>
      <c r="I184" s="117">
        <f t="shared" si="12"/>
        <v>1741100</v>
      </c>
    </row>
    <row r="185" spans="1:9">
      <c r="A185" s="119">
        <v>97</v>
      </c>
      <c r="B185" s="119">
        <v>17</v>
      </c>
      <c r="C185" s="121" t="s">
        <v>170</v>
      </c>
      <c r="D185" s="106">
        <f>0</f>
        <v>0</v>
      </c>
      <c r="E185" s="106">
        <f>0</f>
        <v>0</v>
      </c>
      <c r="F185" s="117">
        <f t="shared" si="11"/>
        <v>0</v>
      </c>
      <c r="G185" s="106">
        <f>0</f>
        <v>0</v>
      </c>
      <c r="H185" s="106">
        <f>0</f>
        <v>0</v>
      </c>
      <c r="I185" s="117">
        <f t="shared" si="12"/>
        <v>0</v>
      </c>
    </row>
    <row r="186" spans="1:9">
      <c r="A186" s="119">
        <v>98</v>
      </c>
      <c r="B186" s="119">
        <v>18</v>
      </c>
      <c r="C186" s="121" t="s">
        <v>171</v>
      </c>
      <c r="D186" s="106">
        <f>0</f>
        <v>0</v>
      </c>
      <c r="E186" s="106">
        <f>0</f>
        <v>0</v>
      </c>
      <c r="F186" s="117">
        <f t="shared" si="11"/>
        <v>0</v>
      </c>
      <c r="G186" s="106">
        <f>0</f>
        <v>0</v>
      </c>
      <c r="H186" s="106">
        <f>0</f>
        <v>0</v>
      </c>
      <c r="I186" s="117">
        <f t="shared" si="12"/>
        <v>0</v>
      </c>
    </row>
    <row r="187" spans="1:9">
      <c r="A187" s="119">
        <v>99</v>
      </c>
      <c r="B187" s="119">
        <v>19</v>
      </c>
      <c r="C187" s="121" t="s">
        <v>172</v>
      </c>
      <c r="D187" s="106">
        <f>0</f>
        <v>0</v>
      </c>
      <c r="E187" s="106">
        <f>0</f>
        <v>0</v>
      </c>
      <c r="F187" s="117">
        <f t="shared" si="11"/>
        <v>0</v>
      </c>
      <c r="G187" s="106">
        <f>0</f>
        <v>0</v>
      </c>
      <c r="H187" s="106">
        <f>0</f>
        <v>0</v>
      </c>
      <c r="I187" s="117">
        <f t="shared" si="12"/>
        <v>0</v>
      </c>
    </row>
    <row r="188" spans="1:9">
      <c r="A188" s="119">
        <v>100</v>
      </c>
      <c r="B188" s="119">
        <v>20</v>
      </c>
      <c r="C188" s="121" t="s">
        <v>173</v>
      </c>
      <c r="D188" s="106">
        <f>0</f>
        <v>0</v>
      </c>
      <c r="E188" s="106">
        <f>0</f>
        <v>0</v>
      </c>
      <c r="F188" s="117">
        <f t="shared" si="11"/>
        <v>0</v>
      </c>
      <c r="G188" s="106">
        <f>0</f>
        <v>0</v>
      </c>
      <c r="H188" s="106">
        <f>0</f>
        <v>0</v>
      </c>
      <c r="I188" s="117">
        <f t="shared" si="12"/>
        <v>0</v>
      </c>
    </row>
    <row r="189" spans="1:9">
      <c r="A189" s="119">
        <v>101</v>
      </c>
      <c r="B189" s="119">
        <v>21</v>
      </c>
      <c r="C189" s="121" t="s">
        <v>174</v>
      </c>
      <c r="D189" s="106">
        <f>0</f>
        <v>0</v>
      </c>
      <c r="E189" s="106">
        <f>0</f>
        <v>0</v>
      </c>
      <c r="F189" s="117">
        <f>SUM(D189:E189)</f>
        <v>0</v>
      </c>
      <c r="G189" s="106">
        <f>0</f>
        <v>0</v>
      </c>
      <c r="H189" s="106">
        <f>0</f>
        <v>0</v>
      </c>
      <c r="I189" s="117">
        <f>SUM(G189:H189)</f>
        <v>0</v>
      </c>
    </row>
    <row r="190" spans="1:9">
      <c r="A190" s="119">
        <v>102</v>
      </c>
      <c r="B190" s="119">
        <v>22</v>
      </c>
      <c r="C190" s="121" t="s">
        <v>175</v>
      </c>
      <c r="D190" s="106">
        <f>0</f>
        <v>0</v>
      </c>
      <c r="E190" s="106">
        <f>0</f>
        <v>0</v>
      </c>
      <c r="F190" s="117">
        <f>SUM(D190:E190)</f>
        <v>0</v>
      </c>
      <c r="G190" s="106">
        <f>0</f>
        <v>0</v>
      </c>
      <c r="H190" s="106">
        <f>0</f>
        <v>0</v>
      </c>
      <c r="I190" s="117">
        <f t="shared" si="12"/>
        <v>0</v>
      </c>
    </row>
    <row r="191" spans="1:9">
      <c r="A191" s="119">
        <v>103</v>
      </c>
      <c r="B191" s="119">
        <v>23</v>
      </c>
      <c r="C191" s="121" t="s">
        <v>176</v>
      </c>
      <c r="D191" s="106">
        <f>0</f>
        <v>0</v>
      </c>
      <c r="E191" s="106">
        <f>0</f>
        <v>0</v>
      </c>
      <c r="F191" s="117">
        <f>SUM(D191:E191)</f>
        <v>0</v>
      </c>
      <c r="G191" s="106">
        <f>0</f>
        <v>0</v>
      </c>
      <c r="H191" s="106">
        <f>0</f>
        <v>0</v>
      </c>
      <c r="I191" s="117">
        <f t="shared" si="12"/>
        <v>0</v>
      </c>
    </row>
    <row r="192" spans="1:9">
      <c r="A192" s="108" t="s">
        <v>58</v>
      </c>
      <c r="B192" s="109"/>
      <c r="C192" s="109"/>
      <c r="D192" s="110">
        <f>SUM(D169:D191)</f>
        <v>34476836</v>
      </c>
      <c r="E192" s="110">
        <f>SUM(E169:E191)</f>
        <v>2097000</v>
      </c>
      <c r="F192" s="110">
        <f>SUM(D192:E192)</f>
        <v>36573836</v>
      </c>
      <c r="G192" s="110">
        <f>SUM(G169:G191)</f>
        <v>32170168</v>
      </c>
      <c r="H192" s="110">
        <f>SUM(H169:H191)</f>
        <v>1827500</v>
      </c>
      <c r="I192" s="110">
        <f>SUM(G192:H192)</f>
        <v>33997668</v>
      </c>
    </row>
    <row r="193" spans="1:9">
      <c r="A193" s="108" t="s">
        <v>177</v>
      </c>
      <c r="B193" s="109"/>
      <c r="C193" s="109"/>
      <c r="D193" s="109"/>
      <c r="E193" s="109"/>
      <c r="F193" s="109"/>
      <c r="G193" s="109"/>
      <c r="H193" s="109"/>
      <c r="I193" s="113"/>
    </row>
    <row r="194" spans="1:9">
      <c r="A194" s="119">
        <v>104</v>
      </c>
      <c r="B194" s="119">
        <v>1</v>
      </c>
      <c r="C194" s="105" t="s">
        <v>178</v>
      </c>
      <c r="D194" s="106">
        <f>0</f>
        <v>0</v>
      </c>
      <c r="E194" s="106">
        <f>0</f>
        <v>0</v>
      </c>
      <c r="F194" s="117">
        <f>SUM(D194:E194)</f>
        <v>0</v>
      </c>
      <c r="G194" s="106">
        <f>0</f>
        <v>0</v>
      </c>
      <c r="H194" s="106">
        <f>0</f>
        <v>0</v>
      </c>
      <c r="I194" s="117">
        <f>SUM(G194:H194)</f>
        <v>0</v>
      </c>
    </row>
    <row r="195" spans="1:9">
      <c r="A195" s="119">
        <v>105</v>
      </c>
      <c r="B195" s="119">
        <v>2</v>
      </c>
      <c r="C195" s="120" t="s">
        <v>179</v>
      </c>
      <c r="D195" s="106">
        <v>255201</v>
      </c>
      <c r="E195" s="106">
        <v>74100</v>
      </c>
      <c r="F195" s="117">
        <f t="shared" ref="F195:F240" si="13">SUM(D195:E195)</f>
        <v>329301</v>
      </c>
      <c r="G195" s="106">
        <v>255201</v>
      </c>
      <c r="H195" s="106">
        <v>255201</v>
      </c>
      <c r="I195" s="117">
        <f t="shared" ref="I195:I246" si="14">SUM(G195:H195)</f>
        <v>510402</v>
      </c>
    </row>
    <row r="196" spans="1:9">
      <c r="A196" s="119">
        <v>106</v>
      </c>
      <c r="B196" s="119">
        <v>3</v>
      </c>
      <c r="C196" s="120" t="s">
        <v>180</v>
      </c>
      <c r="D196" s="106">
        <f>0</f>
        <v>0</v>
      </c>
      <c r="E196" s="106">
        <v>103000</v>
      </c>
      <c r="F196" s="117">
        <f t="shared" si="13"/>
        <v>103000</v>
      </c>
      <c r="G196" s="106">
        <f>0</f>
        <v>0</v>
      </c>
      <c r="H196" s="106">
        <v>100000</v>
      </c>
      <c r="I196" s="117">
        <f t="shared" si="14"/>
        <v>100000</v>
      </c>
    </row>
    <row r="197" spans="1:9">
      <c r="A197" s="119">
        <v>107</v>
      </c>
      <c r="B197" s="119">
        <v>4</v>
      </c>
      <c r="C197" s="105" t="s">
        <v>181</v>
      </c>
      <c r="D197" s="106">
        <v>242000</v>
      </c>
      <c r="E197" s="106">
        <f>0</f>
        <v>0</v>
      </c>
      <c r="F197" s="117">
        <f t="shared" si="13"/>
        <v>242000</v>
      </c>
      <c r="G197" s="106">
        <v>830200</v>
      </c>
      <c r="H197" s="106">
        <v>84000</v>
      </c>
      <c r="I197" s="117">
        <f t="shared" si="14"/>
        <v>914200</v>
      </c>
    </row>
    <row r="198" spans="1:9">
      <c r="A198" s="119">
        <v>108</v>
      </c>
      <c r="B198" s="119">
        <v>5</v>
      </c>
      <c r="C198" s="130" t="s">
        <v>182</v>
      </c>
      <c r="D198" s="106">
        <f>0</f>
        <v>0</v>
      </c>
      <c r="E198" s="106">
        <f>0</f>
        <v>0</v>
      </c>
      <c r="F198" s="117">
        <f t="shared" si="13"/>
        <v>0</v>
      </c>
      <c r="G198" s="106">
        <f>0</f>
        <v>0</v>
      </c>
      <c r="H198" s="106">
        <f>0</f>
        <v>0</v>
      </c>
      <c r="I198" s="117">
        <f t="shared" si="14"/>
        <v>0</v>
      </c>
    </row>
    <row r="199" spans="1:9">
      <c r="A199" s="119">
        <v>109</v>
      </c>
      <c r="B199" s="119">
        <v>6</v>
      </c>
      <c r="C199" s="130" t="s">
        <v>183</v>
      </c>
      <c r="D199" s="106">
        <f>190075+190075</f>
        <v>380150</v>
      </c>
      <c r="E199" s="106">
        <f>350000+350000</f>
        <v>700000</v>
      </c>
      <c r="F199" s="117">
        <f t="shared" si="13"/>
        <v>1080150</v>
      </c>
      <c r="G199" s="106">
        <f>0</f>
        <v>0</v>
      </c>
      <c r="H199" s="106">
        <f>0</f>
        <v>0</v>
      </c>
      <c r="I199" s="117">
        <f t="shared" si="14"/>
        <v>0</v>
      </c>
    </row>
    <row r="200" spans="1:9">
      <c r="A200" s="119">
        <v>110</v>
      </c>
      <c r="B200" s="119">
        <v>7</v>
      </c>
      <c r="C200" s="130" t="s">
        <v>184</v>
      </c>
      <c r="D200" s="106">
        <f>442800+442800</f>
        <v>885600</v>
      </c>
      <c r="E200" s="106">
        <f>361500+361500</f>
        <v>723000</v>
      </c>
      <c r="F200" s="117">
        <f t="shared" si="13"/>
        <v>1608600</v>
      </c>
      <c r="G200" s="106">
        <v>442800</v>
      </c>
      <c r="H200" s="106">
        <v>371500</v>
      </c>
      <c r="I200" s="117">
        <f t="shared" si="14"/>
        <v>814300</v>
      </c>
    </row>
    <row r="201" spans="1:9">
      <c r="A201" s="119">
        <v>111</v>
      </c>
      <c r="B201" s="119">
        <v>8</v>
      </c>
      <c r="C201" s="130" t="s">
        <v>185</v>
      </c>
      <c r="D201" s="106">
        <f>0</f>
        <v>0</v>
      </c>
      <c r="E201" s="106">
        <f>0</f>
        <v>0</v>
      </c>
      <c r="F201" s="117">
        <f t="shared" si="13"/>
        <v>0</v>
      </c>
      <c r="G201" s="106">
        <f>0</f>
        <v>0</v>
      </c>
      <c r="H201" s="106">
        <f>0</f>
        <v>0</v>
      </c>
      <c r="I201" s="117">
        <f t="shared" si="14"/>
        <v>0</v>
      </c>
    </row>
    <row r="202" spans="1:9">
      <c r="A202" s="119">
        <v>112</v>
      </c>
      <c r="B202" s="119">
        <v>9</v>
      </c>
      <c r="C202" s="130" t="s">
        <v>186</v>
      </c>
      <c r="D202" s="106">
        <f>0</f>
        <v>0</v>
      </c>
      <c r="E202" s="106">
        <f>0</f>
        <v>0</v>
      </c>
      <c r="F202" s="117">
        <f t="shared" si="13"/>
        <v>0</v>
      </c>
      <c r="G202" s="106">
        <f>0</f>
        <v>0</v>
      </c>
      <c r="H202" s="106">
        <f>0</f>
        <v>0</v>
      </c>
      <c r="I202" s="117">
        <f t="shared" si="14"/>
        <v>0</v>
      </c>
    </row>
    <row r="203" spans="1:9">
      <c r="A203" s="119">
        <v>113</v>
      </c>
      <c r="B203" s="119">
        <v>10</v>
      </c>
      <c r="C203" s="130" t="s">
        <v>187</v>
      </c>
      <c r="D203" s="106">
        <f>0</f>
        <v>0</v>
      </c>
      <c r="E203" s="106">
        <f>0</f>
        <v>0</v>
      </c>
      <c r="F203" s="117">
        <f t="shared" si="13"/>
        <v>0</v>
      </c>
      <c r="G203" s="106">
        <f>0</f>
        <v>0</v>
      </c>
      <c r="H203" s="106">
        <f>322000+322000+322000</f>
        <v>966000</v>
      </c>
      <c r="I203" s="117">
        <f t="shared" si="14"/>
        <v>966000</v>
      </c>
    </row>
    <row r="204" spans="1:9">
      <c r="A204" s="119">
        <v>114</v>
      </c>
      <c r="B204" s="119">
        <v>11</v>
      </c>
      <c r="C204" s="130" t="s">
        <v>188</v>
      </c>
      <c r="D204" s="106">
        <f>0</f>
        <v>0</v>
      </c>
      <c r="E204" s="106">
        <f>0</f>
        <v>0</v>
      </c>
      <c r="F204" s="117">
        <f t="shared" si="13"/>
        <v>0</v>
      </c>
      <c r="G204" s="106">
        <f>0</f>
        <v>0</v>
      </c>
      <c r="H204" s="106">
        <f>0</f>
        <v>0</v>
      </c>
      <c r="I204" s="117">
        <f t="shared" si="14"/>
        <v>0</v>
      </c>
    </row>
    <row r="205" spans="1:9">
      <c r="A205" s="119">
        <v>115</v>
      </c>
      <c r="B205" s="119">
        <v>12</v>
      </c>
      <c r="C205" s="130" t="s">
        <v>189</v>
      </c>
      <c r="D205" s="106">
        <f>0</f>
        <v>0</v>
      </c>
      <c r="E205" s="106">
        <f>0</f>
        <v>0</v>
      </c>
      <c r="F205" s="117">
        <f t="shared" si="13"/>
        <v>0</v>
      </c>
      <c r="G205" s="106">
        <f>0</f>
        <v>0</v>
      </c>
      <c r="H205" s="106">
        <f>300000+300000+300000+300000+300000+300000</f>
        <v>1800000</v>
      </c>
      <c r="I205" s="117">
        <f t="shared" si="14"/>
        <v>1800000</v>
      </c>
    </row>
    <row r="206" spans="1:9">
      <c r="A206" s="119">
        <v>116</v>
      </c>
      <c r="B206" s="119">
        <v>13</v>
      </c>
      <c r="C206" s="130" t="s">
        <v>190</v>
      </c>
      <c r="D206" s="106">
        <f>0</f>
        <v>0</v>
      </c>
      <c r="E206" s="106">
        <f>0</f>
        <v>0</v>
      </c>
      <c r="F206" s="117">
        <f t="shared" si="13"/>
        <v>0</v>
      </c>
      <c r="G206" s="106">
        <f>0</f>
        <v>0</v>
      </c>
      <c r="H206" s="106">
        <f>0</f>
        <v>0</v>
      </c>
      <c r="I206" s="117">
        <f t="shared" si="14"/>
        <v>0</v>
      </c>
    </row>
    <row r="207" spans="1:9">
      <c r="A207" s="119">
        <v>117</v>
      </c>
      <c r="B207" s="119">
        <v>14</v>
      </c>
      <c r="C207" s="130" t="s">
        <v>191</v>
      </c>
      <c r="D207" s="106">
        <f>0</f>
        <v>0</v>
      </c>
      <c r="E207" s="106">
        <f>0</f>
        <v>0</v>
      </c>
      <c r="F207" s="117">
        <f t="shared" si="13"/>
        <v>0</v>
      </c>
      <c r="G207" s="106">
        <v>450000</v>
      </c>
      <c r="H207" s="106">
        <v>300000</v>
      </c>
      <c r="I207" s="117">
        <f t="shared" si="14"/>
        <v>750000</v>
      </c>
    </row>
    <row r="208" spans="1:9">
      <c r="A208" s="119">
        <v>118</v>
      </c>
      <c r="B208" s="119">
        <v>15</v>
      </c>
      <c r="C208" s="130" t="s">
        <v>192</v>
      </c>
      <c r="D208" s="106">
        <f>0</f>
        <v>0</v>
      </c>
      <c r="E208" s="106">
        <v>27000</v>
      </c>
      <c r="F208" s="117">
        <f t="shared" si="13"/>
        <v>27000</v>
      </c>
      <c r="G208" s="106">
        <f>0</f>
        <v>0</v>
      </c>
      <c r="H208" s="106">
        <v>27000</v>
      </c>
      <c r="I208" s="117">
        <f t="shared" si="14"/>
        <v>27000</v>
      </c>
    </row>
    <row r="209" spans="1:9">
      <c r="A209" s="119">
        <v>119</v>
      </c>
      <c r="B209" s="119">
        <v>16</v>
      </c>
      <c r="C209" s="130" t="s">
        <v>193</v>
      </c>
      <c r="D209" s="106">
        <f>0</f>
        <v>0</v>
      </c>
      <c r="E209" s="106">
        <f>0</f>
        <v>0</v>
      </c>
      <c r="F209" s="117">
        <f t="shared" si="13"/>
        <v>0</v>
      </c>
      <c r="G209" s="106">
        <f>0</f>
        <v>0</v>
      </c>
      <c r="H209" s="106"/>
      <c r="I209" s="117">
        <f t="shared" si="14"/>
        <v>0</v>
      </c>
    </row>
    <row r="210" spans="1:9">
      <c r="A210" s="119">
        <v>120</v>
      </c>
      <c r="B210" s="119">
        <v>17</v>
      </c>
      <c r="C210" s="130" t="s">
        <v>194</v>
      </c>
      <c r="D210" s="106">
        <f>0</f>
        <v>0</v>
      </c>
      <c r="E210" s="106">
        <v>27000</v>
      </c>
      <c r="F210" s="117">
        <f t="shared" si="13"/>
        <v>27000</v>
      </c>
      <c r="G210" s="106">
        <f>0</f>
        <v>0</v>
      </c>
      <c r="H210" s="106">
        <v>27000</v>
      </c>
      <c r="I210" s="117">
        <f t="shared" si="14"/>
        <v>27000</v>
      </c>
    </row>
    <row r="211" spans="1:9">
      <c r="A211" s="119">
        <v>121</v>
      </c>
      <c r="B211" s="119">
        <v>18</v>
      </c>
      <c r="C211" s="130" t="s">
        <v>195</v>
      </c>
      <c r="D211" s="106">
        <f>0</f>
        <v>0</v>
      </c>
      <c r="E211" s="106">
        <f>0</f>
        <v>0</v>
      </c>
      <c r="F211" s="117">
        <f t="shared" si="13"/>
        <v>0</v>
      </c>
      <c r="G211" s="106">
        <f>0</f>
        <v>0</v>
      </c>
      <c r="H211" s="106"/>
      <c r="I211" s="117">
        <f t="shared" si="14"/>
        <v>0</v>
      </c>
    </row>
    <row r="212" spans="1:9">
      <c r="A212" s="119">
        <v>122</v>
      </c>
      <c r="B212" s="119">
        <v>19</v>
      </c>
      <c r="C212" s="130" t="s">
        <v>196</v>
      </c>
      <c r="D212" s="106">
        <f>0</f>
        <v>0</v>
      </c>
      <c r="E212" s="106">
        <v>197000</v>
      </c>
      <c r="F212" s="117">
        <f t="shared" si="13"/>
        <v>197000</v>
      </c>
      <c r="G212" s="106">
        <f>0</f>
        <v>0</v>
      </c>
      <c r="H212" s="106">
        <v>197000</v>
      </c>
      <c r="I212" s="117">
        <f t="shared" si="14"/>
        <v>197000</v>
      </c>
    </row>
    <row r="213" spans="1:9">
      <c r="A213" s="119">
        <v>123</v>
      </c>
      <c r="B213" s="119">
        <v>20</v>
      </c>
      <c r="C213" s="130" t="s">
        <v>197</v>
      </c>
      <c r="D213" s="106">
        <f>0</f>
        <v>0</v>
      </c>
      <c r="E213" s="106">
        <f>0</f>
        <v>0</v>
      </c>
      <c r="F213" s="117">
        <f t="shared" si="13"/>
        <v>0</v>
      </c>
      <c r="G213" s="106">
        <f>0</f>
        <v>0</v>
      </c>
      <c r="H213" s="106">
        <f>0</f>
        <v>0</v>
      </c>
      <c r="I213" s="117">
        <f t="shared" si="14"/>
        <v>0</v>
      </c>
    </row>
    <row r="214" spans="1:9">
      <c r="A214" s="119">
        <v>124</v>
      </c>
      <c r="B214" s="119">
        <v>21</v>
      </c>
      <c r="C214" s="130" t="s">
        <v>198</v>
      </c>
      <c r="D214" s="106">
        <v>85000</v>
      </c>
      <c r="E214" s="106">
        <v>140000</v>
      </c>
      <c r="F214" s="117">
        <f t="shared" si="13"/>
        <v>225000</v>
      </c>
      <c r="G214" s="106">
        <v>85000</v>
      </c>
      <c r="H214" s="106">
        <v>140000</v>
      </c>
      <c r="I214" s="117">
        <f t="shared" si="14"/>
        <v>225000</v>
      </c>
    </row>
    <row r="215" spans="1:9">
      <c r="A215" s="119">
        <v>125</v>
      </c>
      <c r="B215" s="119">
        <v>22</v>
      </c>
      <c r="C215" s="130" t="s">
        <v>199</v>
      </c>
      <c r="D215" s="106">
        <f>0</f>
        <v>0</v>
      </c>
      <c r="E215" s="106">
        <v>182500</v>
      </c>
      <c r="F215" s="117">
        <f t="shared" si="13"/>
        <v>182500</v>
      </c>
      <c r="G215" s="106">
        <f>0</f>
        <v>0</v>
      </c>
      <c r="H215" s="106">
        <v>182500</v>
      </c>
      <c r="I215" s="117">
        <f t="shared" si="14"/>
        <v>182500</v>
      </c>
    </row>
    <row r="216" spans="1:9">
      <c r="A216" s="119">
        <v>126</v>
      </c>
      <c r="B216" s="119">
        <v>23</v>
      </c>
      <c r="C216" s="130" t="s">
        <v>200</v>
      </c>
      <c r="D216" s="106">
        <f>0</f>
        <v>0</v>
      </c>
      <c r="E216" s="106">
        <f>0</f>
        <v>0</v>
      </c>
      <c r="F216" s="117">
        <f t="shared" si="13"/>
        <v>0</v>
      </c>
      <c r="G216" s="106">
        <f>0</f>
        <v>0</v>
      </c>
      <c r="H216" s="106">
        <f>0</f>
        <v>0</v>
      </c>
      <c r="I216" s="117">
        <f t="shared" si="14"/>
        <v>0</v>
      </c>
    </row>
    <row r="217" spans="1:9">
      <c r="A217" s="119">
        <v>127</v>
      </c>
      <c r="B217" s="119">
        <v>24</v>
      </c>
      <c r="C217" s="130" t="s">
        <v>201</v>
      </c>
      <c r="D217" s="106">
        <f>79000+79000</f>
        <v>158000</v>
      </c>
      <c r="E217" s="106">
        <f>665000+665000</f>
        <v>1330000</v>
      </c>
      <c r="F217" s="117">
        <f t="shared" si="13"/>
        <v>1488000</v>
      </c>
      <c r="G217" s="106">
        <v>79000</v>
      </c>
      <c r="H217" s="106">
        <v>665000</v>
      </c>
      <c r="I217" s="117">
        <f t="shared" si="14"/>
        <v>744000</v>
      </c>
    </row>
    <row r="218" spans="1:9">
      <c r="A218" s="119">
        <v>128</v>
      </c>
      <c r="B218" s="119">
        <v>25</v>
      </c>
      <c r="C218" s="130" t="s">
        <v>202</v>
      </c>
      <c r="D218" s="106">
        <f>0</f>
        <v>0</v>
      </c>
      <c r="E218" s="106">
        <f>0</f>
        <v>0</v>
      </c>
      <c r="F218" s="117">
        <f t="shared" si="13"/>
        <v>0</v>
      </c>
      <c r="G218" s="106">
        <v>242000</v>
      </c>
      <c r="H218" s="106">
        <f>0</f>
        <v>0</v>
      </c>
      <c r="I218" s="117">
        <f t="shared" si="14"/>
        <v>242000</v>
      </c>
    </row>
    <row r="219" spans="1:9">
      <c r="A219" s="119">
        <v>129</v>
      </c>
      <c r="B219" s="119">
        <v>26</v>
      </c>
      <c r="C219" s="130" t="s">
        <v>203</v>
      </c>
      <c r="D219" s="106">
        <f>0</f>
        <v>0</v>
      </c>
      <c r="E219" s="106">
        <f>0</f>
        <v>0</v>
      </c>
      <c r="F219" s="117">
        <f t="shared" si="13"/>
        <v>0</v>
      </c>
      <c r="G219" s="106">
        <f>0</f>
        <v>0</v>
      </c>
      <c r="H219" s="106">
        <f>0</f>
        <v>0</v>
      </c>
      <c r="I219" s="117">
        <f t="shared" si="14"/>
        <v>0</v>
      </c>
    </row>
    <row r="220" spans="1:9">
      <c r="A220" s="119">
        <v>130</v>
      </c>
      <c r="B220" s="119">
        <v>27</v>
      </c>
      <c r="C220" s="130" t="s">
        <v>204</v>
      </c>
      <c r="D220" s="106">
        <v>1000000</v>
      </c>
      <c r="E220" s="106">
        <f>0</f>
        <v>0</v>
      </c>
      <c r="F220" s="117">
        <f t="shared" si="13"/>
        <v>1000000</v>
      </c>
      <c r="G220" s="106">
        <v>1000000</v>
      </c>
      <c r="H220" s="106">
        <f>0</f>
        <v>0</v>
      </c>
      <c r="I220" s="117">
        <f t="shared" si="14"/>
        <v>1000000</v>
      </c>
    </row>
    <row r="221" spans="1:9">
      <c r="A221" s="119">
        <v>131</v>
      </c>
      <c r="B221" s="119">
        <v>28</v>
      </c>
      <c r="C221" s="130" t="s">
        <v>205</v>
      </c>
      <c r="D221" s="106">
        <f>0</f>
        <v>0</v>
      </c>
      <c r="E221" s="106">
        <f>0</f>
        <v>0</v>
      </c>
      <c r="F221" s="117">
        <f t="shared" si="13"/>
        <v>0</v>
      </c>
      <c r="G221" s="106">
        <f>0</f>
        <v>0</v>
      </c>
      <c r="H221" s="106">
        <f>0</f>
        <v>0</v>
      </c>
      <c r="I221" s="117">
        <f t="shared" si="14"/>
        <v>0</v>
      </c>
    </row>
    <row r="222" spans="1:9">
      <c r="A222" s="119">
        <v>132</v>
      </c>
      <c r="B222" s="119">
        <v>29</v>
      </c>
      <c r="C222" s="130" t="s">
        <v>206</v>
      </c>
      <c r="D222" s="106">
        <f>0</f>
        <v>0</v>
      </c>
      <c r="E222" s="106">
        <f>0</f>
        <v>0</v>
      </c>
      <c r="F222" s="117">
        <f t="shared" si="13"/>
        <v>0</v>
      </c>
      <c r="G222" s="106">
        <f>0</f>
        <v>0</v>
      </c>
      <c r="H222" s="106">
        <v>1284000</v>
      </c>
      <c r="I222" s="117">
        <f t="shared" si="14"/>
        <v>1284000</v>
      </c>
    </row>
    <row r="223" spans="1:9">
      <c r="A223" s="119">
        <v>133</v>
      </c>
      <c r="B223" s="119">
        <v>30</v>
      </c>
      <c r="C223" s="130" t="s">
        <v>207</v>
      </c>
      <c r="D223" s="106">
        <f>0</f>
        <v>0</v>
      </c>
      <c r="E223" s="106">
        <f>0</f>
        <v>0</v>
      </c>
      <c r="F223" s="117">
        <f t="shared" si="13"/>
        <v>0</v>
      </c>
      <c r="G223" s="106">
        <f>0</f>
        <v>0</v>
      </c>
      <c r="H223" s="106">
        <f>0</f>
        <v>0</v>
      </c>
      <c r="I223" s="117">
        <f t="shared" si="14"/>
        <v>0</v>
      </c>
    </row>
    <row r="224" spans="1:9">
      <c r="A224" s="119">
        <v>134</v>
      </c>
      <c r="B224" s="119">
        <v>31</v>
      </c>
      <c r="C224" s="130" t="s">
        <v>208</v>
      </c>
      <c r="D224" s="106">
        <f>0</f>
        <v>0</v>
      </c>
      <c r="E224" s="106">
        <f>0</f>
        <v>0</v>
      </c>
      <c r="F224" s="117">
        <f t="shared" si="13"/>
        <v>0</v>
      </c>
      <c r="G224" s="106">
        <v>825000</v>
      </c>
      <c r="H224" s="106">
        <f>0</f>
        <v>0</v>
      </c>
      <c r="I224" s="117">
        <f t="shared" si="14"/>
        <v>825000</v>
      </c>
    </row>
    <row r="225" spans="1:9">
      <c r="A225" s="119">
        <v>135</v>
      </c>
      <c r="B225" s="119">
        <v>32</v>
      </c>
      <c r="C225" s="130" t="s">
        <v>209</v>
      </c>
      <c r="D225" s="106">
        <f>0</f>
        <v>0</v>
      </c>
      <c r="E225" s="106">
        <f>106000+106000</f>
        <v>212000</v>
      </c>
      <c r="F225" s="117">
        <f t="shared" si="13"/>
        <v>212000</v>
      </c>
      <c r="G225" s="106">
        <f>0</f>
        <v>0</v>
      </c>
      <c r="H225" s="106">
        <v>106000</v>
      </c>
      <c r="I225" s="117">
        <f t="shared" si="14"/>
        <v>106000</v>
      </c>
    </row>
    <row r="226" spans="1:9">
      <c r="A226" s="119">
        <v>136</v>
      </c>
      <c r="B226" s="119">
        <v>33</v>
      </c>
      <c r="C226" s="130" t="s">
        <v>210</v>
      </c>
      <c r="D226" s="106">
        <f>0</f>
        <v>0</v>
      </c>
      <c r="E226" s="106">
        <f>0</f>
        <v>0</v>
      </c>
      <c r="F226" s="117">
        <f t="shared" si="13"/>
        <v>0</v>
      </c>
      <c r="G226" s="106">
        <v>88000</v>
      </c>
      <c r="H226" s="106">
        <f>0</f>
        <v>0</v>
      </c>
      <c r="I226" s="117">
        <f t="shared" si="14"/>
        <v>88000</v>
      </c>
    </row>
    <row r="227" spans="1:9">
      <c r="A227" s="119">
        <v>137</v>
      </c>
      <c r="B227" s="119">
        <v>34</v>
      </c>
      <c r="C227" s="130" t="s">
        <v>211</v>
      </c>
      <c r="D227" s="106">
        <f>0</f>
        <v>0</v>
      </c>
      <c r="E227" s="106">
        <f>0</f>
        <v>0</v>
      </c>
      <c r="F227" s="117">
        <f t="shared" si="13"/>
        <v>0</v>
      </c>
      <c r="G227" s="106">
        <f>0</f>
        <v>0</v>
      </c>
      <c r="H227" s="106">
        <f>0</f>
        <v>0</v>
      </c>
      <c r="I227" s="117">
        <f t="shared" si="14"/>
        <v>0</v>
      </c>
    </row>
    <row r="228" spans="1:9">
      <c r="A228" s="119">
        <v>138</v>
      </c>
      <c r="B228" s="119">
        <v>35</v>
      </c>
      <c r="C228" s="130" t="s">
        <v>212</v>
      </c>
      <c r="D228" s="106">
        <f>0</f>
        <v>0</v>
      </c>
      <c r="E228" s="106">
        <f>0</f>
        <v>0</v>
      </c>
      <c r="F228" s="117">
        <f t="shared" si="13"/>
        <v>0</v>
      </c>
      <c r="G228" s="106">
        <f>0</f>
        <v>0</v>
      </c>
      <c r="H228" s="106">
        <f>0</f>
        <v>0</v>
      </c>
      <c r="I228" s="117">
        <f t="shared" si="14"/>
        <v>0</v>
      </c>
    </row>
    <row r="229" spans="1:9">
      <c r="A229" s="119">
        <v>139</v>
      </c>
      <c r="B229" s="119">
        <v>36</v>
      </c>
      <c r="C229" s="130" t="s">
        <v>213</v>
      </c>
      <c r="D229" s="106">
        <f>0</f>
        <v>0</v>
      </c>
      <c r="E229" s="106">
        <f>0</f>
        <v>0</v>
      </c>
      <c r="F229" s="117">
        <f t="shared" si="13"/>
        <v>0</v>
      </c>
      <c r="G229" s="106">
        <f>0</f>
        <v>0</v>
      </c>
      <c r="H229" s="106">
        <f>0</f>
        <v>0</v>
      </c>
      <c r="I229" s="117">
        <f t="shared" si="14"/>
        <v>0</v>
      </c>
    </row>
    <row r="230" spans="1:9">
      <c r="A230" s="119">
        <v>140</v>
      </c>
      <c r="B230" s="119">
        <v>37</v>
      </c>
      <c r="C230" s="130" t="s">
        <v>214</v>
      </c>
      <c r="D230" s="106">
        <f>0</f>
        <v>0</v>
      </c>
      <c r="E230" s="106">
        <f>0</f>
        <v>0</v>
      </c>
      <c r="F230" s="117">
        <f t="shared" si="13"/>
        <v>0</v>
      </c>
      <c r="G230" s="106">
        <f>0</f>
        <v>0</v>
      </c>
      <c r="H230" s="106">
        <f>0</f>
        <v>0</v>
      </c>
      <c r="I230" s="117">
        <f t="shared" si="14"/>
        <v>0</v>
      </c>
    </row>
    <row r="231" spans="1:9">
      <c r="A231" s="119">
        <v>141</v>
      </c>
      <c r="B231" s="119">
        <v>38</v>
      </c>
      <c r="C231" s="130" t="s">
        <v>215</v>
      </c>
      <c r="D231" s="106">
        <f>0</f>
        <v>0</v>
      </c>
      <c r="E231" s="106">
        <f>0</f>
        <v>0</v>
      </c>
      <c r="F231" s="117">
        <f t="shared" si="13"/>
        <v>0</v>
      </c>
      <c r="G231" s="106">
        <f>0</f>
        <v>0</v>
      </c>
      <c r="H231" s="106">
        <f>0</f>
        <v>0</v>
      </c>
      <c r="I231" s="117">
        <f t="shared" si="14"/>
        <v>0</v>
      </c>
    </row>
    <row r="232" spans="1:9">
      <c r="A232" s="119">
        <v>142</v>
      </c>
      <c r="B232" s="119">
        <v>39</v>
      </c>
      <c r="C232" s="130" t="s">
        <v>216</v>
      </c>
      <c r="D232" s="106">
        <f>0</f>
        <v>0</v>
      </c>
      <c r="E232" s="106">
        <v>350000</v>
      </c>
      <c r="F232" s="117">
        <f t="shared" si="13"/>
        <v>350000</v>
      </c>
      <c r="G232" s="106">
        <f>0</f>
        <v>0</v>
      </c>
      <c r="H232" s="106">
        <v>350000</v>
      </c>
      <c r="I232" s="117">
        <f t="shared" si="14"/>
        <v>350000</v>
      </c>
    </row>
    <row r="233" spans="1:9">
      <c r="A233" s="119">
        <v>143</v>
      </c>
      <c r="B233" s="119">
        <v>40</v>
      </c>
      <c r="C233" s="130" t="s">
        <v>217</v>
      </c>
      <c r="D233" s="106">
        <f>0</f>
        <v>0</v>
      </c>
      <c r="E233" s="106">
        <f>0</f>
        <v>0</v>
      </c>
      <c r="F233" s="117">
        <f t="shared" si="13"/>
        <v>0</v>
      </c>
      <c r="G233" s="106">
        <f>0</f>
        <v>0</v>
      </c>
      <c r="H233" s="106"/>
      <c r="I233" s="117">
        <f t="shared" si="14"/>
        <v>0</v>
      </c>
    </row>
    <row r="234" spans="1:9">
      <c r="A234" s="119">
        <v>144</v>
      </c>
      <c r="B234" s="119">
        <v>41</v>
      </c>
      <c r="C234" s="130" t="s">
        <v>218</v>
      </c>
      <c r="D234" s="106">
        <f>0</f>
        <v>0</v>
      </c>
      <c r="E234" s="106">
        <v>750000</v>
      </c>
      <c r="F234" s="117">
        <f t="shared" si="13"/>
        <v>750000</v>
      </c>
      <c r="G234" s="106">
        <f>0</f>
        <v>0</v>
      </c>
      <c r="H234" s="106">
        <f>0</f>
        <v>0</v>
      </c>
      <c r="I234" s="117">
        <f t="shared" si="14"/>
        <v>0</v>
      </c>
    </row>
    <row r="235" spans="1:9">
      <c r="A235" s="119">
        <v>145</v>
      </c>
      <c r="B235" s="119">
        <v>42</v>
      </c>
      <c r="C235" s="130" t="s">
        <v>219</v>
      </c>
      <c r="D235" s="106">
        <f>0</f>
        <v>0</v>
      </c>
      <c r="E235" s="106">
        <f>0</f>
        <v>0</v>
      </c>
      <c r="F235" s="117">
        <f t="shared" si="13"/>
        <v>0</v>
      </c>
      <c r="G235" s="106">
        <f>0</f>
        <v>0</v>
      </c>
      <c r="H235" s="106">
        <f>0</f>
        <v>0</v>
      </c>
      <c r="I235" s="117">
        <f t="shared" si="14"/>
        <v>0</v>
      </c>
    </row>
    <row r="236" spans="1:9">
      <c r="A236" s="119">
        <v>146</v>
      </c>
      <c r="B236" s="119">
        <v>43</v>
      </c>
      <c r="C236" s="130" t="s">
        <v>220</v>
      </c>
      <c r="D236" s="106">
        <f>0</f>
        <v>0</v>
      </c>
      <c r="E236" s="106">
        <f>0</f>
        <v>0</v>
      </c>
      <c r="F236" s="117">
        <f t="shared" si="13"/>
        <v>0</v>
      </c>
      <c r="G236" s="106">
        <f>0</f>
        <v>0</v>
      </c>
      <c r="H236" s="106">
        <f>0</f>
        <v>0</v>
      </c>
      <c r="I236" s="117">
        <f t="shared" si="14"/>
        <v>0</v>
      </c>
    </row>
    <row r="237" spans="1:9">
      <c r="A237" s="119">
        <v>147</v>
      </c>
      <c r="B237" s="119">
        <v>44</v>
      </c>
      <c r="C237" s="130" t="s">
        <v>221</v>
      </c>
      <c r="D237" s="106">
        <f>0</f>
        <v>0</v>
      </c>
      <c r="E237" s="106">
        <f>0</f>
        <v>0</v>
      </c>
      <c r="F237" s="117">
        <f t="shared" si="13"/>
        <v>0</v>
      </c>
      <c r="G237" s="106">
        <v>1000000</v>
      </c>
      <c r="H237" s="106">
        <f>0</f>
        <v>0</v>
      </c>
      <c r="I237" s="117">
        <f t="shared" si="14"/>
        <v>1000000</v>
      </c>
    </row>
    <row r="238" spans="1:9">
      <c r="A238" s="119">
        <v>148</v>
      </c>
      <c r="B238" s="119">
        <v>45</v>
      </c>
      <c r="C238" s="130" t="s">
        <v>222</v>
      </c>
      <c r="D238" s="106">
        <f>0</f>
        <v>0</v>
      </c>
      <c r="E238" s="106">
        <f>0</f>
        <v>0</v>
      </c>
      <c r="F238" s="117">
        <f t="shared" si="13"/>
        <v>0</v>
      </c>
      <c r="G238" s="106">
        <f>0</f>
        <v>0</v>
      </c>
      <c r="H238" s="106">
        <f>0</f>
        <v>0</v>
      </c>
      <c r="I238" s="117">
        <f t="shared" si="14"/>
        <v>0</v>
      </c>
    </row>
    <row r="239" spans="1:9">
      <c r="A239" s="119">
        <v>149</v>
      </c>
      <c r="B239" s="119">
        <v>46</v>
      </c>
      <c r="C239" s="130" t="s">
        <v>306</v>
      </c>
      <c r="D239" s="106">
        <v>750000</v>
      </c>
      <c r="E239" s="106">
        <f>0</f>
        <v>0</v>
      </c>
      <c r="F239" s="117">
        <f t="shared" si="13"/>
        <v>750000</v>
      </c>
      <c r="G239" s="106">
        <v>750000</v>
      </c>
      <c r="H239" s="106">
        <f>0</f>
        <v>0</v>
      </c>
      <c r="I239" s="117">
        <f t="shared" si="14"/>
        <v>750000</v>
      </c>
    </row>
    <row r="240" spans="1:9">
      <c r="A240" s="119">
        <v>150</v>
      </c>
      <c r="B240" s="119">
        <v>47</v>
      </c>
      <c r="C240" s="130" t="s">
        <v>281</v>
      </c>
      <c r="D240" s="106">
        <v>350000</v>
      </c>
      <c r="E240" s="106">
        <f>0</f>
        <v>0</v>
      </c>
      <c r="F240" s="117">
        <f t="shared" si="13"/>
        <v>350000</v>
      </c>
      <c r="G240" s="106">
        <v>350000</v>
      </c>
      <c r="H240" s="106">
        <f>0</f>
        <v>0</v>
      </c>
      <c r="I240" s="117">
        <f t="shared" si="14"/>
        <v>350000</v>
      </c>
    </row>
    <row r="241" spans="1:9">
      <c r="A241" s="119">
        <v>151</v>
      </c>
      <c r="B241" s="119">
        <v>48</v>
      </c>
      <c r="C241" s="130" t="s">
        <v>347</v>
      </c>
      <c r="D241" s="106">
        <v>1000000</v>
      </c>
      <c r="E241" s="106">
        <f>0</f>
        <v>0</v>
      </c>
      <c r="F241" s="117">
        <f>0</f>
        <v>0</v>
      </c>
      <c r="G241" s="106">
        <v>1000000</v>
      </c>
      <c r="H241" s="106">
        <f>0</f>
        <v>0</v>
      </c>
      <c r="I241" s="117">
        <f t="shared" si="14"/>
        <v>1000000</v>
      </c>
    </row>
    <row r="242" spans="1:9">
      <c r="A242" s="119">
        <v>152</v>
      </c>
      <c r="B242" s="119">
        <v>49</v>
      </c>
      <c r="C242" s="130" t="s">
        <v>348</v>
      </c>
      <c r="D242" s="106">
        <v>500000</v>
      </c>
      <c r="E242" s="106">
        <f>0</f>
        <v>0</v>
      </c>
      <c r="F242" s="117">
        <f>0</f>
        <v>0</v>
      </c>
      <c r="G242" s="106">
        <f>0</f>
        <v>0</v>
      </c>
      <c r="H242" s="106">
        <f>0</f>
        <v>0</v>
      </c>
      <c r="I242" s="117">
        <f t="shared" si="14"/>
        <v>0</v>
      </c>
    </row>
    <row r="243" spans="1:9">
      <c r="A243" s="119">
        <v>153</v>
      </c>
      <c r="B243" s="119">
        <v>50</v>
      </c>
      <c r="C243" s="130" t="s">
        <v>374</v>
      </c>
      <c r="D243" s="106">
        <v>8500000</v>
      </c>
      <c r="E243" s="106">
        <f>0</f>
        <v>0</v>
      </c>
      <c r="F243" s="117">
        <f>0</f>
        <v>0</v>
      </c>
      <c r="G243" s="106">
        <v>1700000</v>
      </c>
      <c r="H243" s="106">
        <f>0</f>
        <v>0</v>
      </c>
      <c r="I243" s="117">
        <f t="shared" si="14"/>
        <v>1700000</v>
      </c>
    </row>
    <row r="244" spans="1:9">
      <c r="A244" s="119">
        <v>154</v>
      </c>
      <c r="B244" s="119">
        <v>51</v>
      </c>
      <c r="C244" s="130" t="s">
        <v>375</v>
      </c>
      <c r="D244" s="106">
        <f>0</f>
        <v>0</v>
      </c>
      <c r="E244" s="106">
        <v>28000</v>
      </c>
      <c r="F244" s="117">
        <f>0</f>
        <v>0</v>
      </c>
      <c r="G244" s="106">
        <f>0</f>
        <v>0</v>
      </c>
      <c r="H244" s="106">
        <f>0</f>
        <v>0</v>
      </c>
      <c r="I244" s="117">
        <f t="shared" si="14"/>
        <v>0</v>
      </c>
    </row>
    <row r="245" spans="1:9">
      <c r="A245" s="119">
        <v>155</v>
      </c>
      <c r="B245" s="119">
        <v>52</v>
      </c>
      <c r="C245" s="130" t="s">
        <v>224</v>
      </c>
      <c r="D245" s="106">
        <f>0</f>
        <v>0</v>
      </c>
      <c r="E245" s="106">
        <f>0</f>
        <v>0</v>
      </c>
      <c r="F245" s="117">
        <f>SUM(D245:E245)</f>
        <v>0</v>
      </c>
      <c r="G245" s="106">
        <f>0</f>
        <v>0</v>
      </c>
      <c r="H245" s="106">
        <f>0</f>
        <v>0</v>
      </c>
      <c r="I245" s="117">
        <f t="shared" si="14"/>
        <v>0</v>
      </c>
    </row>
    <row r="246" spans="1:9">
      <c r="A246" s="119">
        <v>156</v>
      </c>
      <c r="B246" s="119">
        <v>53</v>
      </c>
      <c r="C246" s="131" t="s">
        <v>225</v>
      </c>
      <c r="D246" s="106">
        <v>860000</v>
      </c>
      <c r="E246" s="106">
        <f>0</f>
        <v>0</v>
      </c>
      <c r="F246" s="117">
        <f>SUM(D246:E246)</f>
        <v>860000</v>
      </c>
      <c r="G246" s="106">
        <v>860000</v>
      </c>
      <c r="H246" s="106">
        <f>0</f>
        <v>0</v>
      </c>
      <c r="I246" s="117">
        <f t="shared" si="14"/>
        <v>860000</v>
      </c>
    </row>
    <row r="247" spans="1:9">
      <c r="A247" s="132" t="s">
        <v>58</v>
      </c>
      <c r="B247" s="132"/>
      <c r="C247" s="132"/>
      <c r="D247" s="110">
        <f>SUM(D194:D246)</f>
        <v>14965951</v>
      </c>
      <c r="E247" s="110">
        <f>SUM(E194:E246)</f>
        <v>4843600</v>
      </c>
      <c r="F247" s="110">
        <f>SUM(D247:E247)</f>
        <v>19809551</v>
      </c>
      <c r="G247" s="110">
        <f>SUM(G194:G246)</f>
        <v>9957201</v>
      </c>
      <c r="H247" s="110">
        <f>SUM(H194:H246)</f>
        <v>6855201</v>
      </c>
      <c r="I247" s="110">
        <f>SUM(G247:H247)</f>
        <v>16812402</v>
      </c>
    </row>
    <row r="248" spans="1:9">
      <c r="A248" s="108" t="s">
        <v>226</v>
      </c>
      <c r="B248" s="109"/>
      <c r="C248" s="109"/>
      <c r="D248" s="109"/>
      <c r="E248" s="109"/>
      <c r="F248" s="109"/>
      <c r="G248" s="109"/>
      <c r="H248" s="109"/>
      <c r="I248" s="113"/>
    </row>
    <row r="249" spans="1:9">
      <c r="A249" s="119">
        <v>157</v>
      </c>
      <c r="B249" s="119">
        <v>1</v>
      </c>
      <c r="C249" s="125" t="s">
        <v>227</v>
      </c>
      <c r="D249" s="106">
        <v>1247098</v>
      </c>
      <c r="E249" s="106">
        <v>35000</v>
      </c>
      <c r="F249" s="117">
        <f>SUM(D249:E249)</f>
        <v>1282098</v>
      </c>
      <c r="G249" s="106">
        <v>1247098</v>
      </c>
      <c r="H249" s="106">
        <v>30000</v>
      </c>
      <c r="I249" s="117">
        <f>SUM(G249:H249)</f>
        <v>1277098</v>
      </c>
    </row>
    <row r="250" spans="1:9">
      <c r="A250" s="108" t="s">
        <v>101</v>
      </c>
      <c r="B250" s="109"/>
      <c r="C250" s="109"/>
      <c r="D250" s="110">
        <f>D249</f>
        <v>1247098</v>
      </c>
      <c r="E250" s="110">
        <f>E249</f>
        <v>35000</v>
      </c>
      <c r="F250" s="110">
        <f>SUM(D250:E250)</f>
        <v>1282098</v>
      </c>
      <c r="G250" s="110">
        <f>G249</f>
        <v>1247098</v>
      </c>
      <c r="H250" s="110">
        <f>H249</f>
        <v>30000</v>
      </c>
      <c r="I250" s="110">
        <f>SUM(G250:H250)</f>
        <v>1277098</v>
      </c>
    </row>
    <row r="251" spans="1:9">
      <c r="A251" s="108" t="s">
        <v>228</v>
      </c>
      <c r="B251" s="109"/>
      <c r="C251" s="109"/>
      <c r="D251" s="109"/>
      <c r="E251" s="109"/>
      <c r="F251" s="109"/>
      <c r="G251" s="109"/>
      <c r="H251" s="109"/>
      <c r="I251" s="113"/>
    </row>
    <row r="252" spans="1:9">
      <c r="A252" s="119">
        <v>158</v>
      </c>
      <c r="B252" s="119">
        <v>1</v>
      </c>
      <c r="C252" s="133" t="s">
        <v>229</v>
      </c>
      <c r="D252" s="106">
        <f>0</f>
        <v>0</v>
      </c>
      <c r="E252" s="134">
        <f>0</f>
        <v>0</v>
      </c>
      <c r="F252" s="117">
        <f>SUM(D252:E252)</f>
        <v>0</v>
      </c>
      <c r="G252" s="106">
        <f>0</f>
        <v>0</v>
      </c>
      <c r="H252" s="134">
        <f>0</f>
        <v>0</v>
      </c>
      <c r="I252" s="117">
        <f>SUM(G252:H252)</f>
        <v>0</v>
      </c>
    </row>
    <row r="253" spans="1:9">
      <c r="A253" s="119">
        <v>159</v>
      </c>
      <c r="B253" s="119">
        <v>2</v>
      </c>
      <c r="C253" s="220" t="s">
        <v>429</v>
      </c>
      <c r="D253" s="106"/>
      <c r="E253" s="134"/>
      <c r="F253" s="117"/>
      <c r="G253" s="106">
        <v>500000</v>
      </c>
      <c r="H253" s="134">
        <v>1500000</v>
      </c>
      <c r="I253" s="117">
        <f>G253+H253</f>
        <v>2000000</v>
      </c>
    </row>
    <row r="254" spans="1:9">
      <c r="A254" s="108" t="s">
        <v>101</v>
      </c>
      <c r="B254" s="109"/>
      <c r="C254" s="109"/>
      <c r="D254" s="110">
        <f>D252</f>
        <v>0</v>
      </c>
      <c r="E254" s="110">
        <f>E252</f>
        <v>0</v>
      </c>
      <c r="F254" s="110">
        <f>SUM(D254:E254)</f>
        <v>0</v>
      </c>
      <c r="G254" s="110">
        <f>SUM(G252:G253)</f>
        <v>500000</v>
      </c>
      <c r="H254" s="110">
        <f>SUM(H252:H253)</f>
        <v>1500000</v>
      </c>
      <c r="I254" s="110">
        <f>SUM(G254:H254)</f>
        <v>2000000</v>
      </c>
    </row>
    <row r="255" spans="1:9">
      <c r="A255" s="108" t="s">
        <v>230</v>
      </c>
      <c r="B255" s="109"/>
      <c r="C255" s="109"/>
      <c r="D255" s="109"/>
      <c r="E255" s="109"/>
      <c r="F255" s="109"/>
      <c r="G255" s="109"/>
      <c r="H255" s="109"/>
      <c r="I255" s="113"/>
    </row>
    <row r="256" spans="1:9" s="189" customFormat="1">
      <c r="A256" s="186">
        <v>160</v>
      </c>
      <c r="B256" s="186">
        <v>1</v>
      </c>
      <c r="C256" s="228" t="s">
        <v>231</v>
      </c>
      <c r="D256" s="187">
        <f>0</f>
        <v>0</v>
      </c>
      <c r="E256" s="187">
        <f>0</f>
        <v>0</v>
      </c>
      <c r="F256" s="188">
        <f>SUM(D256:E256)</f>
        <v>0</v>
      </c>
      <c r="G256" s="187">
        <f>0</f>
        <v>0</v>
      </c>
      <c r="H256" s="187">
        <f>0</f>
        <v>0</v>
      </c>
      <c r="I256" s="188">
        <f>SUM(G256:H256)</f>
        <v>0</v>
      </c>
    </row>
    <row r="257" spans="1:9" s="189" customFormat="1">
      <c r="A257" s="186">
        <v>161</v>
      </c>
      <c r="B257" s="186">
        <v>2</v>
      </c>
      <c r="C257" s="228" t="s">
        <v>232</v>
      </c>
      <c r="D257" s="187">
        <f>0</f>
        <v>0</v>
      </c>
      <c r="E257" s="187">
        <f>1594650+865500</f>
        <v>2460150</v>
      </c>
      <c r="F257" s="188">
        <f t="shared" ref="F257:F284" si="15">SUM(D257:E257)</f>
        <v>2460150</v>
      </c>
      <c r="G257" s="187">
        <f>3000000</f>
        <v>3000000</v>
      </c>
      <c r="H257" s="187">
        <f>0</f>
        <v>0</v>
      </c>
      <c r="I257" s="188">
        <f t="shared" ref="I257:I284" si="16">SUM(G257:H257)</f>
        <v>3000000</v>
      </c>
    </row>
    <row r="258" spans="1:9" s="189" customFormat="1">
      <c r="A258" s="186">
        <v>162</v>
      </c>
      <c r="B258" s="186">
        <v>3</v>
      </c>
      <c r="C258" s="229" t="s">
        <v>307</v>
      </c>
      <c r="D258" s="187">
        <f>0</f>
        <v>0</v>
      </c>
      <c r="E258" s="187">
        <f>0</f>
        <v>0</v>
      </c>
      <c r="F258" s="188">
        <f t="shared" si="15"/>
        <v>0</v>
      </c>
      <c r="G258" s="187">
        <f>0</f>
        <v>0</v>
      </c>
      <c r="H258" s="187">
        <f>0</f>
        <v>0</v>
      </c>
      <c r="I258" s="188">
        <f t="shared" si="16"/>
        <v>0</v>
      </c>
    </row>
    <row r="259" spans="1:9" s="189" customFormat="1">
      <c r="A259" s="186">
        <v>163</v>
      </c>
      <c r="B259" s="186">
        <v>4</v>
      </c>
      <c r="C259" s="135" t="s">
        <v>233</v>
      </c>
      <c r="D259" s="187">
        <f>350000+200000+200000+110000</f>
        <v>860000</v>
      </c>
      <c r="E259" s="187">
        <f>200000+200000</f>
        <v>400000</v>
      </c>
      <c r="F259" s="188">
        <f t="shared" si="15"/>
        <v>1260000</v>
      </c>
      <c r="G259" s="187">
        <f>200000+450000+152500</f>
        <v>802500</v>
      </c>
      <c r="H259" s="187">
        <f>200000+50000</f>
        <v>250000</v>
      </c>
      <c r="I259" s="188">
        <f t="shared" si="16"/>
        <v>1052500</v>
      </c>
    </row>
    <row r="260" spans="1:9" s="189" customFormat="1">
      <c r="A260" s="186">
        <v>164</v>
      </c>
      <c r="B260" s="186">
        <v>5</v>
      </c>
      <c r="C260" s="135" t="s">
        <v>234</v>
      </c>
      <c r="D260" s="187">
        <v>120000</v>
      </c>
      <c r="E260" s="187">
        <f>0</f>
        <v>0</v>
      </c>
      <c r="F260" s="188">
        <f t="shared" si="15"/>
        <v>120000</v>
      </c>
      <c r="G260" s="187">
        <v>120000</v>
      </c>
      <c r="H260" s="187">
        <f>0</f>
        <v>0</v>
      </c>
      <c r="I260" s="188">
        <f t="shared" si="16"/>
        <v>120000</v>
      </c>
    </row>
    <row r="261" spans="1:9" s="189" customFormat="1">
      <c r="A261" s="186">
        <v>165</v>
      </c>
      <c r="B261" s="186">
        <v>6</v>
      </c>
      <c r="C261" s="135" t="s">
        <v>350</v>
      </c>
      <c r="D261" s="187">
        <f>0</f>
        <v>0</v>
      </c>
      <c r="E261" s="187">
        <v>250000</v>
      </c>
      <c r="F261" s="188">
        <f t="shared" si="15"/>
        <v>250000</v>
      </c>
      <c r="G261" s="187">
        <f>0</f>
        <v>0</v>
      </c>
      <c r="H261" s="187">
        <f>0</f>
        <v>0</v>
      </c>
      <c r="I261" s="188">
        <f t="shared" si="16"/>
        <v>0</v>
      </c>
    </row>
    <row r="262" spans="1:9" s="189" customFormat="1">
      <c r="A262" s="186">
        <v>166</v>
      </c>
      <c r="B262" s="186">
        <v>7</v>
      </c>
      <c r="C262" s="135" t="s">
        <v>376</v>
      </c>
      <c r="D262" s="187">
        <v>1500000</v>
      </c>
      <c r="E262" s="187">
        <f>0</f>
        <v>0</v>
      </c>
      <c r="F262" s="188">
        <f t="shared" si="15"/>
        <v>1500000</v>
      </c>
      <c r="G262" s="187">
        <f>0</f>
        <v>0</v>
      </c>
      <c r="H262" s="187">
        <f>0</f>
        <v>0</v>
      </c>
      <c r="I262" s="188">
        <f t="shared" si="16"/>
        <v>0</v>
      </c>
    </row>
    <row r="263" spans="1:9" s="189" customFormat="1">
      <c r="A263" s="186">
        <v>167</v>
      </c>
      <c r="B263" s="186">
        <v>8</v>
      </c>
      <c r="C263" s="135" t="s">
        <v>377</v>
      </c>
      <c r="D263" s="187">
        <f>0</f>
        <v>0</v>
      </c>
      <c r="E263" s="187">
        <v>210000</v>
      </c>
      <c r="F263" s="188">
        <f t="shared" si="15"/>
        <v>210000</v>
      </c>
      <c r="G263" s="187">
        <f>0</f>
        <v>0</v>
      </c>
      <c r="H263" s="187">
        <f>0</f>
        <v>0</v>
      </c>
      <c r="I263" s="188">
        <f t="shared" si="16"/>
        <v>0</v>
      </c>
    </row>
    <row r="264" spans="1:9" s="189" customFormat="1">
      <c r="A264" s="186">
        <v>168</v>
      </c>
      <c r="B264" s="186">
        <v>9</v>
      </c>
      <c r="C264" s="135" t="s">
        <v>378</v>
      </c>
      <c r="D264" s="187">
        <f>0</f>
        <v>0</v>
      </c>
      <c r="E264" s="187">
        <v>300000</v>
      </c>
      <c r="F264" s="188">
        <f t="shared" si="15"/>
        <v>300000</v>
      </c>
      <c r="G264" s="187">
        <f>0</f>
        <v>0</v>
      </c>
      <c r="H264" s="187">
        <f>0</f>
        <v>0</v>
      </c>
      <c r="I264" s="188">
        <f t="shared" si="16"/>
        <v>0</v>
      </c>
    </row>
    <row r="265" spans="1:9" s="189" customFormat="1">
      <c r="A265" s="186">
        <v>169</v>
      </c>
      <c r="B265" s="186">
        <v>10</v>
      </c>
      <c r="C265" s="135" t="s">
        <v>283</v>
      </c>
      <c r="D265" s="187">
        <v>625000</v>
      </c>
      <c r="E265" s="187">
        <f>0</f>
        <v>0</v>
      </c>
      <c r="F265" s="188">
        <f t="shared" si="15"/>
        <v>625000</v>
      </c>
      <c r="G265" s="187">
        <f>0</f>
        <v>0</v>
      </c>
      <c r="H265" s="187">
        <f>0</f>
        <v>0</v>
      </c>
      <c r="I265" s="188">
        <f t="shared" si="16"/>
        <v>0</v>
      </c>
    </row>
    <row r="266" spans="1:9" s="189" customFormat="1">
      <c r="A266" s="186">
        <v>170</v>
      </c>
      <c r="B266" s="186">
        <v>11</v>
      </c>
      <c r="C266" s="135" t="s">
        <v>235</v>
      </c>
      <c r="D266" s="187">
        <v>100000</v>
      </c>
      <c r="E266" s="187">
        <f>0</f>
        <v>0</v>
      </c>
      <c r="F266" s="188">
        <f t="shared" si="15"/>
        <v>100000</v>
      </c>
      <c r="G266" s="187">
        <f>0</f>
        <v>0</v>
      </c>
      <c r="H266" s="187">
        <f>0</f>
        <v>0</v>
      </c>
      <c r="I266" s="188">
        <f t="shared" si="16"/>
        <v>0</v>
      </c>
    </row>
    <row r="267" spans="1:9" s="189" customFormat="1">
      <c r="A267" s="186">
        <v>171</v>
      </c>
      <c r="B267" s="186">
        <v>12</v>
      </c>
      <c r="C267" s="135" t="s">
        <v>282</v>
      </c>
      <c r="D267" s="187">
        <v>70000</v>
      </c>
      <c r="E267" s="187">
        <f>0</f>
        <v>0</v>
      </c>
      <c r="F267" s="188">
        <f>SUM(D267:E267)</f>
        <v>70000</v>
      </c>
      <c r="G267" s="187">
        <f>0</f>
        <v>0</v>
      </c>
      <c r="H267" s="187">
        <f>0</f>
        <v>0</v>
      </c>
      <c r="I267" s="188">
        <f t="shared" si="16"/>
        <v>0</v>
      </c>
    </row>
    <row r="268" spans="1:9" s="189" customFormat="1">
      <c r="A268" s="186">
        <v>172</v>
      </c>
      <c r="B268" s="186">
        <v>13</v>
      </c>
      <c r="C268" s="135" t="s">
        <v>430</v>
      </c>
      <c r="D268" s="187">
        <f>0</f>
        <v>0</v>
      </c>
      <c r="E268" s="187">
        <f>0</f>
        <v>0</v>
      </c>
      <c r="F268" s="188">
        <f t="shared" si="15"/>
        <v>0</v>
      </c>
      <c r="G268" s="187">
        <v>500000</v>
      </c>
      <c r="H268" s="187">
        <f>0</f>
        <v>0</v>
      </c>
      <c r="I268" s="188">
        <f t="shared" si="16"/>
        <v>500000</v>
      </c>
    </row>
    <row r="269" spans="1:9" s="189" customFormat="1">
      <c r="A269" s="186">
        <v>173</v>
      </c>
      <c r="B269" s="186">
        <v>14</v>
      </c>
      <c r="C269" s="135" t="s">
        <v>431</v>
      </c>
      <c r="D269" s="187">
        <f>0</f>
        <v>0</v>
      </c>
      <c r="E269" s="187">
        <f>0</f>
        <v>0</v>
      </c>
      <c r="F269" s="188">
        <f t="shared" si="15"/>
        <v>0</v>
      </c>
      <c r="G269" s="187">
        <v>1200000</v>
      </c>
      <c r="H269" s="187">
        <f>0</f>
        <v>0</v>
      </c>
      <c r="I269" s="188">
        <f t="shared" si="16"/>
        <v>1200000</v>
      </c>
    </row>
    <row r="270" spans="1:9" s="189" customFormat="1">
      <c r="A270" s="186">
        <v>174</v>
      </c>
      <c r="B270" s="186">
        <v>15</v>
      </c>
      <c r="C270" s="135" t="s">
        <v>239</v>
      </c>
      <c r="D270" s="187">
        <f>0</f>
        <v>0</v>
      </c>
      <c r="E270" s="187">
        <f>0</f>
        <v>0</v>
      </c>
      <c r="F270" s="188">
        <f t="shared" si="15"/>
        <v>0</v>
      </c>
      <c r="G270" s="187">
        <v>1000000</v>
      </c>
      <c r="H270" s="187">
        <f>0</f>
        <v>0</v>
      </c>
      <c r="I270" s="188">
        <f t="shared" si="16"/>
        <v>1000000</v>
      </c>
    </row>
    <row r="271" spans="1:9" s="189" customFormat="1">
      <c r="A271" s="186">
        <v>175</v>
      </c>
      <c r="B271" s="186">
        <v>16</v>
      </c>
      <c r="C271" s="135" t="s">
        <v>432</v>
      </c>
      <c r="D271" s="187">
        <f>0</f>
        <v>0</v>
      </c>
      <c r="E271" s="187">
        <f>0</f>
        <v>0</v>
      </c>
      <c r="F271" s="188">
        <f t="shared" si="15"/>
        <v>0</v>
      </c>
      <c r="G271" s="187">
        <f>37000+37000+37000+37000+37000+37000</f>
        <v>222000</v>
      </c>
      <c r="H271" s="187">
        <f>0</f>
        <v>0</v>
      </c>
      <c r="I271" s="188">
        <f t="shared" si="16"/>
        <v>222000</v>
      </c>
    </row>
    <row r="272" spans="1:9" s="189" customFormat="1">
      <c r="A272" s="186">
        <v>176</v>
      </c>
      <c r="B272" s="186">
        <v>17</v>
      </c>
      <c r="C272" s="135" t="s">
        <v>238</v>
      </c>
      <c r="D272" s="187">
        <f>0</f>
        <v>0</v>
      </c>
      <c r="E272" s="187">
        <f>0</f>
        <v>0</v>
      </c>
      <c r="F272" s="188">
        <f t="shared" si="15"/>
        <v>0</v>
      </c>
      <c r="G272" s="187">
        <v>2260000</v>
      </c>
      <c r="H272" s="187">
        <f>0</f>
        <v>0</v>
      </c>
      <c r="I272" s="188">
        <f t="shared" si="16"/>
        <v>2260000</v>
      </c>
    </row>
    <row r="273" spans="1:9" s="189" customFormat="1">
      <c r="A273" s="186">
        <v>177</v>
      </c>
      <c r="B273" s="186">
        <v>18</v>
      </c>
      <c r="C273" s="135" t="s">
        <v>433</v>
      </c>
      <c r="D273" s="187">
        <f>0</f>
        <v>0</v>
      </c>
      <c r="E273" s="187">
        <f>0</f>
        <v>0</v>
      </c>
      <c r="F273" s="188">
        <f t="shared" si="15"/>
        <v>0</v>
      </c>
      <c r="G273" s="187">
        <v>13000000</v>
      </c>
      <c r="H273" s="187">
        <f>0</f>
        <v>0</v>
      </c>
      <c r="I273" s="188">
        <f t="shared" si="16"/>
        <v>13000000</v>
      </c>
    </row>
    <row r="274" spans="1:9" s="189" customFormat="1">
      <c r="A274" s="186">
        <v>178</v>
      </c>
      <c r="B274" s="186">
        <v>19</v>
      </c>
      <c r="C274" s="135" t="s">
        <v>434</v>
      </c>
      <c r="D274" s="187">
        <f>0</f>
        <v>0</v>
      </c>
      <c r="E274" s="187">
        <f>0</f>
        <v>0</v>
      </c>
      <c r="F274" s="188">
        <f t="shared" si="15"/>
        <v>0</v>
      </c>
      <c r="G274" s="187">
        <v>4000000</v>
      </c>
      <c r="H274" s="187">
        <f>0</f>
        <v>0</v>
      </c>
      <c r="I274" s="188">
        <f t="shared" si="16"/>
        <v>4000000</v>
      </c>
    </row>
    <row r="275" spans="1:9" s="189" customFormat="1">
      <c r="A275" s="186">
        <v>179</v>
      </c>
      <c r="B275" s="186">
        <v>20</v>
      </c>
      <c r="C275" s="135" t="s">
        <v>435</v>
      </c>
      <c r="D275" s="187">
        <f>0</f>
        <v>0</v>
      </c>
      <c r="E275" s="187">
        <f>0</f>
        <v>0</v>
      </c>
      <c r="F275" s="188">
        <f t="shared" si="15"/>
        <v>0</v>
      </c>
      <c r="G275" s="187">
        <v>5156000</v>
      </c>
      <c r="H275" s="187">
        <f>0</f>
        <v>0</v>
      </c>
      <c r="I275" s="188">
        <f t="shared" si="16"/>
        <v>5156000</v>
      </c>
    </row>
    <row r="276" spans="1:9" s="189" customFormat="1">
      <c r="A276" s="186">
        <v>180</v>
      </c>
      <c r="B276" s="186">
        <v>21</v>
      </c>
      <c r="C276" s="135" t="s">
        <v>436</v>
      </c>
      <c r="D276" s="187">
        <f>0</f>
        <v>0</v>
      </c>
      <c r="E276" s="187">
        <f>0</f>
        <v>0</v>
      </c>
      <c r="F276" s="188">
        <f t="shared" si="15"/>
        <v>0</v>
      </c>
      <c r="G276" s="187">
        <v>150000</v>
      </c>
      <c r="H276" s="187">
        <f>0</f>
        <v>0</v>
      </c>
      <c r="I276" s="188">
        <f t="shared" si="16"/>
        <v>150000</v>
      </c>
    </row>
    <row r="277" spans="1:9" s="189" customFormat="1">
      <c r="A277" s="186">
        <v>181</v>
      </c>
      <c r="B277" s="186">
        <v>22</v>
      </c>
      <c r="C277" s="135" t="s">
        <v>437</v>
      </c>
      <c r="D277" s="187">
        <f>0</f>
        <v>0</v>
      </c>
      <c r="E277" s="187">
        <f>0</f>
        <v>0</v>
      </c>
      <c r="F277" s="188">
        <f t="shared" si="15"/>
        <v>0</v>
      </c>
      <c r="G277" s="187">
        <v>1000000</v>
      </c>
      <c r="H277" s="187">
        <f>0</f>
        <v>0</v>
      </c>
      <c r="I277" s="188">
        <f t="shared" si="16"/>
        <v>1000000</v>
      </c>
    </row>
    <row r="278" spans="1:9" s="189" customFormat="1">
      <c r="A278" s="186">
        <v>182</v>
      </c>
      <c r="B278" s="186">
        <v>23</v>
      </c>
      <c r="C278" s="135" t="s">
        <v>438</v>
      </c>
      <c r="D278" s="187">
        <f>0</f>
        <v>0</v>
      </c>
      <c r="E278" s="187">
        <f>0</f>
        <v>0</v>
      </c>
      <c r="F278" s="188">
        <f t="shared" si="15"/>
        <v>0</v>
      </c>
      <c r="G278" s="187">
        <v>1000000</v>
      </c>
      <c r="H278" s="187">
        <f>0</f>
        <v>0</v>
      </c>
      <c r="I278" s="188">
        <f t="shared" si="16"/>
        <v>1000000</v>
      </c>
    </row>
    <row r="279" spans="1:9" s="189" customFormat="1">
      <c r="A279" s="186">
        <v>183</v>
      </c>
      <c r="B279" s="186">
        <v>24</v>
      </c>
      <c r="C279" s="135" t="s">
        <v>439</v>
      </c>
      <c r="D279" s="187">
        <f>0</f>
        <v>0</v>
      </c>
      <c r="E279" s="187">
        <f>0</f>
        <v>0</v>
      </c>
      <c r="F279" s="188">
        <f t="shared" si="15"/>
        <v>0</v>
      </c>
      <c r="G279" s="187">
        <v>4590000</v>
      </c>
      <c r="H279" s="187">
        <f>0</f>
        <v>0</v>
      </c>
      <c r="I279" s="188">
        <f t="shared" si="16"/>
        <v>4590000</v>
      </c>
    </row>
    <row r="280" spans="1:9" s="189" customFormat="1">
      <c r="A280" s="186">
        <v>184</v>
      </c>
      <c r="B280" s="186">
        <v>25</v>
      </c>
      <c r="C280" s="135" t="s">
        <v>440</v>
      </c>
      <c r="D280" s="187">
        <f>0</f>
        <v>0</v>
      </c>
      <c r="E280" s="187">
        <f>0</f>
        <v>0</v>
      </c>
      <c r="F280" s="188">
        <f t="shared" si="15"/>
        <v>0</v>
      </c>
      <c r="G280" s="187">
        <v>500000</v>
      </c>
      <c r="H280" s="187">
        <f>0</f>
        <v>0</v>
      </c>
      <c r="I280" s="188">
        <f t="shared" si="16"/>
        <v>500000</v>
      </c>
    </row>
    <row r="281" spans="1:9" s="189" customFormat="1">
      <c r="A281" s="186">
        <v>185</v>
      </c>
      <c r="B281" s="186">
        <v>26</v>
      </c>
      <c r="C281" s="135" t="s">
        <v>441</v>
      </c>
      <c r="D281" s="187">
        <f>0</f>
        <v>0</v>
      </c>
      <c r="E281" s="187">
        <f>0</f>
        <v>0</v>
      </c>
      <c r="F281" s="188">
        <f t="shared" si="15"/>
        <v>0</v>
      </c>
      <c r="G281" s="187">
        <f>0</f>
        <v>0</v>
      </c>
      <c r="H281" s="187">
        <v>50000</v>
      </c>
      <c r="I281" s="188">
        <f t="shared" si="16"/>
        <v>50000</v>
      </c>
    </row>
    <row r="282" spans="1:9" s="189" customFormat="1">
      <c r="A282" s="186">
        <v>186</v>
      </c>
      <c r="B282" s="186">
        <v>27</v>
      </c>
      <c r="C282" s="135" t="s">
        <v>442</v>
      </c>
      <c r="D282" s="187">
        <f>0</f>
        <v>0</v>
      </c>
      <c r="E282" s="187">
        <f>0</f>
        <v>0</v>
      </c>
      <c r="F282" s="188">
        <f>SUM(D282:E282)</f>
        <v>0</v>
      </c>
      <c r="G282" s="187">
        <f>7500+10000+7500</f>
        <v>25000</v>
      </c>
      <c r="H282" s="187">
        <f>0</f>
        <v>0</v>
      </c>
      <c r="I282" s="188">
        <f t="shared" si="16"/>
        <v>25000</v>
      </c>
    </row>
    <row r="283" spans="1:9" s="189" customFormat="1">
      <c r="A283" s="186">
        <v>187</v>
      </c>
      <c r="B283" s="186">
        <v>28</v>
      </c>
      <c r="C283" s="135" t="s">
        <v>443</v>
      </c>
      <c r="D283" s="187">
        <f>0</f>
        <v>0</v>
      </c>
      <c r="E283" s="187">
        <f>0</f>
        <v>0</v>
      </c>
      <c r="F283" s="188">
        <f>SUM(D283:E283)</f>
        <v>0</v>
      </c>
      <c r="G283" s="187">
        <v>100000</v>
      </c>
      <c r="H283" s="187">
        <f>0</f>
        <v>0</v>
      </c>
      <c r="I283" s="188">
        <f t="shared" si="16"/>
        <v>100000</v>
      </c>
    </row>
    <row r="284" spans="1:9" s="189" customFormat="1">
      <c r="A284" s="186">
        <v>188</v>
      </c>
      <c r="B284" s="186">
        <v>29</v>
      </c>
      <c r="C284" s="135" t="s">
        <v>252</v>
      </c>
      <c r="D284" s="187">
        <f>0</f>
        <v>0</v>
      </c>
      <c r="E284" s="187">
        <f>0</f>
        <v>0</v>
      </c>
      <c r="F284" s="188">
        <f t="shared" si="15"/>
        <v>0</v>
      </c>
      <c r="G284" s="187">
        <f>0</f>
        <v>0</v>
      </c>
      <c r="H284" s="187">
        <f>0</f>
        <v>0</v>
      </c>
      <c r="I284" s="188">
        <f t="shared" si="16"/>
        <v>0</v>
      </c>
    </row>
    <row r="285" spans="1:9" ht="15.75" thickBot="1">
      <c r="A285" s="137" t="s">
        <v>101</v>
      </c>
      <c r="B285" s="138"/>
      <c r="C285" s="139"/>
      <c r="D285" s="140">
        <f>SUM(D256:D284)</f>
        <v>3275000</v>
      </c>
      <c r="E285" s="140">
        <f>SUM(E256:E284)</f>
        <v>3620150</v>
      </c>
      <c r="F285" s="140">
        <f>SUM(D285:E285)</f>
        <v>6895150</v>
      </c>
      <c r="G285" s="140">
        <f>SUM(G256:G284)</f>
        <v>38625500</v>
      </c>
      <c r="H285" s="140">
        <f>SUM(H256:H284)</f>
        <v>300000</v>
      </c>
      <c r="I285" s="140">
        <f>SUM(G285:H285)</f>
        <v>38925500</v>
      </c>
    </row>
    <row r="286" spans="1:9" ht="16.5" thickTop="1" thickBot="1">
      <c r="A286" s="141" t="s">
        <v>253</v>
      </c>
      <c r="B286" s="142"/>
      <c r="C286" s="142"/>
      <c r="D286" s="143">
        <f>D285+D254+D250+D247+D192+D167+D145+D123+D120+D117+D111+D100+D84+D72</f>
        <v>133405383</v>
      </c>
      <c r="E286" s="143">
        <f>E285+E254+E250+E247+E192+E167+E145+E123+E120+E117+E111+E100+E84+E72</f>
        <v>50618374</v>
      </c>
      <c r="F286" s="143">
        <f>SUM(D286:E286)</f>
        <v>184023757</v>
      </c>
      <c r="G286" s="143">
        <f>G285+G254+G250+G247+G192+G167+G145+G123+G120+G117+G111+G100+G84+G72</f>
        <v>163700344</v>
      </c>
      <c r="H286" s="143">
        <f>H285+H254+H250+H247+H192+H167+H145+H123+H120+H117+H111+H100+H84+H72</f>
        <v>52860715</v>
      </c>
      <c r="I286" s="143">
        <f>SUM(G286:H286)</f>
        <v>216561059</v>
      </c>
    </row>
    <row r="287" spans="1:9" ht="15.75" thickTop="1">
      <c r="A287" s="144"/>
      <c r="B287" s="145"/>
      <c r="C287" s="145"/>
      <c r="D287" s="145"/>
      <c r="E287" s="145"/>
      <c r="F287" s="145"/>
      <c r="G287" s="145"/>
      <c r="H287" s="145"/>
      <c r="I287" s="145"/>
    </row>
    <row r="288" spans="1:9">
      <c r="A288" s="146" t="s">
        <v>254</v>
      </c>
      <c r="B288" s="146"/>
      <c r="C288" s="146"/>
      <c r="D288" s="146"/>
      <c r="E288" s="146"/>
      <c r="F288" s="146"/>
      <c r="G288" s="146"/>
      <c r="H288" s="146"/>
      <c r="I288" s="146"/>
    </row>
    <row r="289" spans="1:9">
      <c r="A289" s="144"/>
      <c r="B289" s="147" t="s">
        <v>444</v>
      </c>
      <c r="C289" s="147"/>
      <c r="D289" s="147"/>
      <c r="E289" s="147"/>
      <c r="F289" s="147"/>
      <c r="G289" s="147"/>
      <c r="H289" s="147"/>
      <c r="I289" s="147"/>
    </row>
    <row r="290" spans="1:9">
      <c r="A290" s="148" t="s">
        <v>256</v>
      </c>
      <c r="B290" s="149" t="s">
        <v>23</v>
      </c>
      <c r="C290" s="150" t="s">
        <v>24</v>
      </c>
      <c r="D290" s="151"/>
      <c r="E290" s="151"/>
      <c r="F290" s="151"/>
      <c r="G290" s="151"/>
      <c r="H290" s="152"/>
      <c r="I290" s="153" t="s">
        <v>101</v>
      </c>
    </row>
    <row r="291" spans="1:9">
      <c r="A291" s="144"/>
      <c r="B291" s="154"/>
      <c r="C291" s="155"/>
      <c r="D291" s="156"/>
      <c r="E291" s="156"/>
      <c r="F291" s="156"/>
      <c r="G291" s="156"/>
      <c r="H291" s="157"/>
      <c r="I291" s="153" t="s">
        <v>257</v>
      </c>
    </row>
    <row r="292" spans="1:9">
      <c r="A292" s="144"/>
      <c r="B292" s="158"/>
      <c r="C292" s="159" t="s">
        <v>258</v>
      </c>
      <c r="D292" s="160"/>
      <c r="E292" s="160"/>
      <c r="F292" s="160"/>
      <c r="G292" s="160"/>
      <c r="H292" s="161"/>
      <c r="I292" s="162"/>
    </row>
    <row r="293" spans="1:9">
      <c r="A293" s="144"/>
      <c r="B293" s="221">
        <v>1</v>
      </c>
      <c r="C293" s="222" t="s">
        <v>445</v>
      </c>
      <c r="D293" s="191"/>
      <c r="E293" s="191"/>
      <c r="F293" s="191"/>
      <c r="G293" s="191"/>
      <c r="H293" s="192"/>
      <c r="I293" s="167">
        <f>6260000</f>
        <v>6260000</v>
      </c>
    </row>
    <row r="294" spans="1:9">
      <c r="A294" s="144"/>
      <c r="B294" s="221">
        <v>2</v>
      </c>
      <c r="C294" s="222" t="s">
        <v>446</v>
      </c>
      <c r="D294" s="191"/>
      <c r="E294" s="191"/>
      <c r="F294" s="191"/>
      <c r="G294" s="191"/>
      <c r="H294" s="192"/>
      <c r="I294" s="167">
        <f>500000</f>
        <v>500000</v>
      </c>
    </row>
    <row r="295" spans="1:9">
      <c r="A295" s="144"/>
      <c r="B295" s="221">
        <v>3</v>
      </c>
      <c r="C295" s="223" t="s">
        <v>447</v>
      </c>
      <c r="D295" s="191"/>
      <c r="E295" s="191"/>
      <c r="F295" s="191"/>
      <c r="G295" s="191"/>
      <c r="H295" s="192"/>
      <c r="I295" s="167"/>
    </row>
    <row r="296" spans="1:9">
      <c r="A296" s="144"/>
      <c r="B296" s="163"/>
      <c r="C296" s="223" t="s">
        <v>448</v>
      </c>
      <c r="D296" s="191"/>
      <c r="E296" s="191"/>
      <c r="F296" s="191"/>
      <c r="G296" s="191"/>
      <c r="H296" s="192"/>
      <c r="I296" s="167">
        <f>2500000</f>
        <v>2500000</v>
      </c>
    </row>
    <row r="297" spans="1:9">
      <c r="A297" s="144"/>
      <c r="B297" s="163"/>
      <c r="C297" s="223" t="s">
        <v>449</v>
      </c>
      <c r="D297" s="191"/>
      <c r="E297" s="191"/>
      <c r="F297" s="191"/>
      <c r="G297" s="191"/>
      <c r="H297" s="192"/>
      <c r="I297" s="167">
        <f>1500000</f>
        <v>1500000</v>
      </c>
    </row>
    <row r="298" spans="1:9">
      <c r="A298" s="144"/>
      <c r="B298" s="163"/>
      <c r="C298" s="223" t="s">
        <v>450</v>
      </c>
      <c r="D298" s="191"/>
      <c r="E298" s="191"/>
      <c r="F298" s="191"/>
      <c r="G298" s="191"/>
      <c r="H298" s="192"/>
      <c r="I298" s="167">
        <f>1500000</f>
        <v>1500000</v>
      </c>
    </row>
    <row r="299" spans="1:9">
      <c r="A299" s="144"/>
      <c r="B299" s="163"/>
      <c r="C299" s="223" t="s">
        <v>451</v>
      </c>
      <c r="D299" s="191"/>
      <c r="E299" s="191"/>
      <c r="F299" s="191"/>
      <c r="G299" s="191"/>
      <c r="H299" s="192"/>
      <c r="I299" s="167">
        <f>1376500</f>
        <v>1376500</v>
      </c>
    </row>
    <row r="300" spans="1:9">
      <c r="A300" s="144"/>
      <c r="B300" s="221">
        <v>4</v>
      </c>
      <c r="C300" s="223" t="s">
        <v>452</v>
      </c>
      <c r="D300" s="191"/>
      <c r="E300" s="191"/>
      <c r="F300" s="191"/>
      <c r="G300" s="191"/>
      <c r="H300" s="192"/>
      <c r="I300" s="167">
        <f>148600000</f>
        <v>148600000</v>
      </c>
    </row>
    <row r="301" spans="1:9">
      <c r="A301" s="144"/>
      <c r="B301" s="221">
        <v>5</v>
      </c>
      <c r="C301" s="223" t="s">
        <v>453</v>
      </c>
      <c r="D301" s="191"/>
      <c r="E301" s="191"/>
      <c r="F301" s="191"/>
      <c r="G301" s="191"/>
      <c r="H301" s="192"/>
      <c r="I301" s="167">
        <f>52250500</f>
        <v>52250500</v>
      </c>
    </row>
    <row r="302" spans="1:9">
      <c r="A302" s="144"/>
      <c r="B302" s="221">
        <v>6</v>
      </c>
      <c r="C302" s="223" t="s">
        <v>454</v>
      </c>
      <c r="D302" s="191"/>
      <c r="E302" s="191"/>
      <c r="F302" s="191"/>
      <c r="G302" s="191"/>
      <c r="H302" s="192"/>
      <c r="I302" s="167">
        <f>1750000</f>
        <v>1750000</v>
      </c>
    </row>
    <row r="303" spans="1:9">
      <c r="A303" s="144"/>
      <c r="B303" s="221">
        <v>7</v>
      </c>
      <c r="C303" s="223" t="s">
        <v>455</v>
      </c>
      <c r="D303" s="191"/>
      <c r="E303" s="191"/>
      <c r="F303" s="191"/>
      <c r="G303" s="191"/>
      <c r="H303" s="192"/>
      <c r="I303" s="167">
        <f>49950000</f>
        <v>49950000</v>
      </c>
    </row>
    <row r="304" spans="1:9">
      <c r="A304" s="168"/>
      <c r="B304" s="169" t="s">
        <v>58</v>
      </c>
      <c r="C304" s="170"/>
      <c r="D304" s="170"/>
      <c r="E304" s="170"/>
      <c r="F304" s="170"/>
      <c r="G304" s="170"/>
      <c r="H304" s="171"/>
      <c r="I304" s="172">
        <f>SUM(I293:I303)</f>
        <v>266187000</v>
      </c>
    </row>
    <row r="305" spans="1:9">
      <c r="A305" s="145"/>
      <c r="B305" s="145"/>
      <c r="C305" s="145"/>
      <c r="D305" s="145"/>
      <c r="E305" s="145"/>
      <c r="F305" s="145"/>
      <c r="G305" s="145"/>
      <c r="H305" s="145"/>
      <c r="I305" s="145"/>
    </row>
    <row r="306" spans="1:9">
      <c r="A306" s="148" t="s">
        <v>260</v>
      </c>
      <c r="B306" s="149" t="s">
        <v>23</v>
      </c>
      <c r="C306" s="150" t="s">
        <v>24</v>
      </c>
      <c r="D306" s="151"/>
      <c r="E306" s="151"/>
      <c r="F306" s="151"/>
      <c r="G306" s="151"/>
      <c r="H306" s="152"/>
      <c r="I306" s="153" t="s">
        <v>101</v>
      </c>
    </row>
    <row r="307" spans="1:9">
      <c r="A307" s="145"/>
      <c r="B307" s="154"/>
      <c r="C307" s="155"/>
      <c r="D307" s="156"/>
      <c r="E307" s="156"/>
      <c r="F307" s="156"/>
      <c r="G307" s="156"/>
      <c r="H307" s="157"/>
      <c r="I307" s="153" t="s">
        <v>257</v>
      </c>
    </row>
    <row r="308" spans="1:9">
      <c r="A308" s="145"/>
      <c r="B308" s="158"/>
      <c r="C308" s="159" t="s">
        <v>261</v>
      </c>
      <c r="D308" s="160"/>
      <c r="E308" s="160"/>
      <c r="F308" s="160"/>
      <c r="G308" s="160"/>
      <c r="H308" s="161"/>
      <c r="I308" s="173"/>
    </row>
    <row r="309" spans="1:9">
      <c r="A309" s="145"/>
      <c r="B309" s="163">
        <v>1</v>
      </c>
      <c r="C309" s="222" t="s">
        <v>456</v>
      </c>
      <c r="D309" s="191"/>
      <c r="E309" s="191"/>
      <c r="F309" s="191"/>
      <c r="G309" s="191"/>
      <c r="H309" s="192"/>
      <c r="I309" s="167">
        <f>19600000</f>
        <v>19600000</v>
      </c>
    </row>
    <row r="310" spans="1:9">
      <c r="A310" s="145"/>
      <c r="B310" s="163">
        <v>2</v>
      </c>
      <c r="C310" s="176" t="s">
        <v>457</v>
      </c>
      <c r="D310" s="177"/>
      <c r="E310" s="177"/>
      <c r="F310" s="177"/>
      <c r="G310" s="177"/>
      <c r="H310" s="177"/>
      <c r="I310" s="173"/>
    </row>
    <row r="311" spans="1:9">
      <c r="A311" s="145"/>
      <c r="B311" s="163"/>
      <c r="C311" s="176" t="s">
        <v>458</v>
      </c>
      <c r="D311" s="177"/>
      <c r="E311" s="177"/>
      <c r="F311" s="177"/>
      <c r="G311" s="177"/>
      <c r="H311" s="177"/>
      <c r="I311" s="173">
        <f>4531000</f>
        <v>4531000</v>
      </c>
    </row>
    <row r="312" spans="1:9">
      <c r="A312" s="145"/>
      <c r="B312" s="163"/>
      <c r="C312" s="176" t="s">
        <v>459</v>
      </c>
      <c r="D312" s="177"/>
      <c r="E312" s="177"/>
      <c r="F312" s="177"/>
      <c r="G312" s="177"/>
      <c r="H312" s="177"/>
      <c r="I312" s="173">
        <f>950000</f>
        <v>950000</v>
      </c>
    </row>
    <row r="313" spans="1:9">
      <c r="A313" s="145"/>
      <c r="B313" s="163"/>
      <c r="C313" s="176" t="s">
        <v>460</v>
      </c>
      <c r="D313" s="177"/>
      <c r="E313" s="177"/>
      <c r="F313" s="177"/>
      <c r="G313" s="177"/>
      <c r="H313" s="177"/>
      <c r="I313" s="173">
        <f>7493000</f>
        <v>7493000</v>
      </c>
    </row>
    <row r="314" spans="1:9">
      <c r="A314" s="145"/>
      <c r="B314" s="163"/>
      <c r="C314" s="176" t="s">
        <v>461</v>
      </c>
      <c r="D314" s="177"/>
      <c r="E314" s="177"/>
      <c r="F314" s="177"/>
      <c r="G314" s="177"/>
      <c r="H314" s="177"/>
      <c r="I314" s="173">
        <f>2400000</f>
        <v>2400000</v>
      </c>
    </row>
    <row r="315" spans="1:9">
      <c r="A315" s="145"/>
      <c r="B315" s="163"/>
      <c r="C315" s="176" t="s">
        <v>462</v>
      </c>
      <c r="D315" s="177"/>
      <c r="E315" s="177"/>
      <c r="F315" s="177"/>
      <c r="G315" s="177"/>
      <c r="H315" s="177"/>
      <c r="I315" s="173">
        <f>1847500</f>
        <v>1847500</v>
      </c>
    </row>
    <row r="316" spans="1:9">
      <c r="A316" s="145"/>
      <c r="B316" s="163"/>
      <c r="C316" s="176" t="s">
        <v>463</v>
      </c>
      <c r="D316" s="177"/>
      <c r="E316" s="177"/>
      <c r="F316" s="177"/>
      <c r="G316" s="177"/>
      <c r="H316" s="177"/>
      <c r="I316" s="173">
        <f>1750000</f>
        <v>1750000</v>
      </c>
    </row>
    <row r="317" spans="1:9">
      <c r="A317" s="145"/>
      <c r="B317" s="163">
        <v>3</v>
      </c>
      <c r="C317" s="176" t="s">
        <v>464</v>
      </c>
      <c r="D317" s="177"/>
      <c r="E317" s="177"/>
      <c r="F317" s="177"/>
      <c r="G317" s="177"/>
      <c r="H317" s="177"/>
      <c r="I317" s="173">
        <f>7984000</f>
        <v>7984000</v>
      </c>
    </row>
    <row r="318" spans="1:9">
      <c r="A318" s="145"/>
      <c r="B318" s="163">
        <v>4</v>
      </c>
      <c r="C318" s="176" t="s">
        <v>465</v>
      </c>
      <c r="D318" s="177"/>
      <c r="E318" s="177"/>
      <c r="F318" s="177"/>
      <c r="G318" s="177"/>
      <c r="H318" s="177"/>
      <c r="I318" s="173"/>
    </row>
    <row r="319" spans="1:9">
      <c r="A319" s="145"/>
      <c r="B319" s="163"/>
      <c r="C319" s="176" t="s">
        <v>466</v>
      </c>
      <c r="D319" s="177"/>
      <c r="E319" s="177"/>
      <c r="F319" s="177"/>
      <c r="G319" s="177"/>
      <c r="H319" s="177"/>
      <c r="I319" s="173">
        <f>1000000</f>
        <v>1000000</v>
      </c>
    </row>
    <row r="320" spans="1:9">
      <c r="A320" s="145"/>
      <c r="B320" s="163"/>
      <c r="C320" s="176" t="s">
        <v>467</v>
      </c>
      <c r="D320" s="177"/>
      <c r="E320" s="177"/>
      <c r="F320" s="177"/>
      <c r="G320" s="177"/>
      <c r="H320" s="177"/>
      <c r="I320" s="173">
        <f>1500000</f>
        <v>1500000</v>
      </c>
    </row>
    <row r="321" spans="1:9">
      <c r="A321" s="145"/>
      <c r="B321" s="163"/>
      <c r="C321" s="176" t="s">
        <v>468</v>
      </c>
      <c r="D321" s="177"/>
      <c r="E321" s="177"/>
      <c r="F321" s="177"/>
      <c r="G321" s="177"/>
      <c r="H321" s="177"/>
      <c r="I321" s="173">
        <f>1000000</f>
        <v>1000000</v>
      </c>
    </row>
    <row r="322" spans="1:9">
      <c r="A322" s="145"/>
      <c r="B322" s="163"/>
      <c r="C322" s="176" t="s">
        <v>469</v>
      </c>
      <c r="D322" s="177"/>
      <c r="E322" s="177"/>
      <c r="F322" s="177"/>
      <c r="G322" s="177"/>
      <c r="H322" s="177"/>
      <c r="I322" s="173">
        <f>300000</f>
        <v>300000</v>
      </c>
    </row>
    <row r="323" spans="1:9">
      <c r="A323" s="145"/>
      <c r="B323" s="163"/>
      <c r="C323" s="176" t="s">
        <v>470</v>
      </c>
      <c r="D323" s="177"/>
      <c r="E323" s="177"/>
      <c r="F323" s="177"/>
      <c r="G323" s="177"/>
      <c r="H323" s="177"/>
      <c r="I323" s="173">
        <f>1500000</f>
        <v>1500000</v>
      </c>
    </row>
    <row r="324" spans="1:9">
      <c r="A324" s="145"/>
      <c r="B324" s="163"/>
      <c r="C324" s="176" t="s">
        <v>471</v>
      </c>
      <c r="D324" s="177"/>
      <c r="E324" s="177"/>
      <c r="F324" s="177"/>
      <c r="G324" s="177"/>
      <c r="H324" s="177"/>
      <c r="I324" s="173">
        <f>1000000</f>
        <v>1000000</v>
      </c>
    </row>
    <row r="325" spans="1:9">
      <c r="A325" s="145"/>
      <c r="B325" s="163"/>
      <c r="C325" s="176" t="s">
        <v>472</v>
      </c>
      <c r="D325" s="177"/>
      <c r="E325" s="177"/>
      <c r="F325" s="177"/>
      <c r="G325" s="177"/>
      <c r="H325" s="177"/>
      <c r="I325" s="173">
        <f>1000000</f>
        <v>1000000</v>
      </c>
    </row>
    <row r="326" spans="1:9">
      <c r="A326" s="145"/>
      <c r="B326" s="163"/>
      <c r="C326" s="176" t="s">
        <v>473</v>
      </c>
      <c r="D326" s="177"/>
      <c r="E326" s="177"/>
      <c r="F326" s="177"/>
      <c r="G326" s="177"/>
      <c r="H326" s="177"/>
      <c r="I326" s="173">
        <f>500000</f>
        <v>500000</v>
      </c>
    </row>
    <row r="327" spans="1:9">
      <c r="A327" s="145"/>
      <c r="B327" s="163"/>
      <c r="C327" s="176" t="s">
        <v>474</v>
      </c>
      <c r="D327" s="177"/>
      <c r="E327" s="177"/>
      <c r="F327" s="177"/>
      <c r="G327" s="177"/>
      <c r="H327" s="177"/>
      <c r="I327" s="173">
        <f>500000</f>
        <v>500000</v>
      </c>
    </row>
    <row r="328" spans="1:9">
      <c r="A328" s="145"/>
      <c r="B328" s="163"/>
      <c r="C328" s="176" t="s">
        <v>475</v>
      </c>
      <c r="D328" s="177"/>
      <c r="E328" s="177"/>
      <c r="F328" s="177"/>
      <c r="G328" s="177"/>
      <c r="H328" s="177"/>
      <c r="I328" s="173">
        <f>400000</f>
        <v>400000</v>
      </c>
    </row>
    <row r="329" spans="1:9">
      <c r="A329" s="145"/>
      <c r="B329" s="163">
        <v>5</v>
      </c>
      <c r="C329" s="176" t="s">
        <v>476</v>
      </c>
      <c r="D329" s="177"/>
      <c r="E329" s="177"/>
      <c r="F329" s="177"/>
      <c r="G329" s="177"/>
      <c r="H329" s="177"/>
      <c r="I329" s="173">
        <f>1000000</f>
        <v>1000000</v>
      </c>
    </row>
    <row r="330" spans="1:9">
      <c r="A330" s="145"/>
      <c r="B330" s="163">
        <v>6</v>
      </c>
      <c r="C330" s="176" t="s">
        <v>477</v>
      </c>
      <c r="D330" s="177"/>
      <c r="E330" s="177"/>
      <c r="F330" s="177"/>
      <c r="G330" s="177"/>
      <c r="H330" s="177"/>
      <c r="I330" s="173">
        <f>15000000</f>
        <v>15000000</v>
      </c>
    </row>
    <row r="331" spans="1:9">
      <c r="A331" s="145"/>
      <c r="B331" s="163">
        <v>7</v>
      </c>
      <c r="C331" s="176" t="s">
        <v>478</v>
      </c>
      <c r="D331" s="177"/>
      <c r="E331" s="177"/>
      <c r="F331" s="177"/>
      <c r="G331" s="177"/>
      <c r="H331" s="177"/>
      <c r="I331" s="173">
        <f>3801600+1200000</f>
        <v>5001600</v>
      </c>
    </row>
    <row r="332" spans="1:9">
      <c r="A332" s="145"/>
      <c r="B332" s="163">
        <v>8</v>
      </c>
      <c r="C332" s="176" t="s">
        <v>479</v>
      </c>
      <c r="D332" s="177"/>
      <c r="E332" s="177"/>
      <c r="F332" s="177"/>
      <c r="G332" s="177"/>
      <c r="H332" s="177"/>
      <c r="I332" s="173">
        <f>1796000+500000</f>
        <v>2296000</v>
      </c>
    </row>
    <row r="333" spans="1:9">
      <c r="A333" s="145"/>
      <c r="B333" s="163">
        <v>9</v>
      </c>
      <c r="C333" s="176" t="s">
        <v>480</v>
      </c>
      <c r="D333" s="177"/>
      <c r="E333" s="177"/>
      <c r="F333" s="177"/>
      <c r="G333" s="177"/>
      <c r="H333" s="177"/>
      <c r="I333" s="173">
        <f>19490500</f>
        <v>19490500</v>
      </c>
    </row>
    <row r="334" spans="1:9">
      <c r="A334" s="145"/>
      <c r="B334" s="163">
        <v>10</v>
      </c>
      <c r="C334" s="176" t="s">
        <v>481</v>
      </c>
      <c r="D334" s="177"/>
      <c r="E334" s="177"/>
      <c r="F334" s="177"/>
      <c r="G334" s="177"/>
      <c r="H334" s="177"/>
      <c r="I334" s="173"/>
    </row>
    <row r="335" spans="1:9">
      <c r="A335" s="145"/>
      <c r="B335" s="163"/>
      <c r="C335" s="176" t="s">
        <v>482</v>
      </c>
      <c r="D335" s="177"/>
      <c r="E335" s="177"/>
      <c r="F335" s="177"/>
      <c r="G335" s="177"/>
      <c r="H335" s="177"/>
      <c r="I335" s="173">
        <f>3013000</f>
        <v>3013000</v>
      </c>
    </row>
    <row r="336" spans="1:9">
      <c r="A336" s="145"/>
      <c r="B336" s="163"/>
      <c r="C336" s="176" t="s">
        <v>483</v>
      </c>
      <c r="D336" s="177"/>
      <c r="E336" s="177"/>
      <c r="F336" s="177"/>
      <c r="G336" s="177"/>
      <c r="H336" s="177"/>
      <c r="I336" s="173">
        <f>166400</f>
        <v>166400</v>
      </c>
    </row>
    <row r="337" spans="1:9">
      <c r="A337" s="145"/>
      <c r="B337" s="163"/>
      <c r="C337" s="176" t="s">
        <v>484</v>
      </c>
      <c r="D337" s="177"/>
      <c r="E337" s="177"/>
      <c r="F337" s="177"/>
      <c r="G337" s="177"/>
      <c r="H337" s="177"/>
      <c r="I337" s="173">
        <f>341000</f>
        <v>341000</v>
      </c>
    </row>
    <row r="338" spans="1:9">
      <c r="A338" s="145"/>
      <c r="B338" s="163"/>
      <c r="C338" s="176" t="s">
        <v>485</v>
      </c>
      <c r="D338" s="177"/>
      <c r="E338" s="177"/>
      <c r="F338" s="177"/>
      <c r="G338" s="177"/>
      <c r="H338" s="177"/>
      <c r="I338" s="173">
        <f>6260000</f>
        <v>6260000</v>
      </c>
    </row>
    <row r="339" spans="1:9">
      <c r="A339" s="145"/>
      <c r="B339" s="163"/>
      <c r="C339" s="176" t="s">
        <v>486</v>
      </c>
      <c r="D339" s="177"/>
      <c r="E339" s="177"/>
      <c r="F339" s="177"/>
      <c r="G339" s="177"/>
      <c r="H339" s="177"/>
      <c r="I339" s="173">
        <f>995307</f>
        <v>995307</v>
      </c>
    </row>
    <row r="340" spans="1:9">
      <c r="A340" s="145"/>
      <c r="B340" s="163">
        <v>11</v>
      </c>
      <c r="C340" s="176" t="s">
        <v>487</v>
      </c>
      <c r="D340" s="177"/>
      <c r="E340" s="177"/>
      <c r="F340" s="177"/>
      <c r="G340" s="177"/>
      <c r="H340" s="177"/>
      <c r="I340" s="173">
        <f>1095000</f>
        <v>1095000</v>
      </c>
    </row>
    <row r="341" spans="1:9">
      <c r="A341" s="145"/>
      <c r="B341" s="178" t="s">
        <v>58</v>
      </c>
      <c r="C341" s="179"/>
      <c r="D341" s="179"/>
      <c r="E341" s="179"/>
      <c r="F341" s="179"/>
      <c r="G341" s="179"/>
      <c r="H341" s="179"/>
      <c r="I341" s="172">
        <f>SUM(I309:I340)</f>
        <v>109914307</v>
      </c>
    </row>
    <row r="342" spans="1:9">
      <c r="A342" s="168"/>
      <c r="B342" s="144"/>
      <c r="C342" s="144"/>
      <c r="D342" s="180"/>
      <c r="G342" s="180" t="s">
        <v>488</v>
      </c>
      <c r="H342" s="180"/>
    </row>
    <row r="343" spans="1:9">
      <c r="A343" s="144"/>
      <c r="B343" s="144"/>
      <c r="C343" s="180" t="s">
        <v>42</v>
      </c>
      <c r="D343" s="181"/>
      <c r="G343" s="180" t="s">
        <v>267</v>
      </c>
      <c r="H343" s="180"/>
    </row>
    <row r="344" spans="1:9">
      <c r="A344" s="144"/>
      <c r="B344" s="144"/>
      <c r="C344" s="144"/>
      <c r="D344" s="182"/>
      <c r="G344" s="144"/>
      <c r="H344" s="144"/>
    </row>
    <row r="345" spans="1:9">
      <c r="A345" s="144"/>
      <c r="B345" s="183"/>
      <c r="C345" s="184" t="s">
        <v>44</v>
      </c>
      <c r="D345" s="184"/>
      <c r="E345" s="193"/>
      <c r="F345" s="193"/>
      <c r="G345" s="184" t="s">
        <v>44</v>
      </c>
      <c r="H345" s="144"/>
    </row>
    <row r="346" spans="1:9">
      <c r="A346" s="144"/>
      <c r="B346" s="183"/>
      <c r="C346" s="180" t="s">
        <v>268</v>
      </c>
      <c r="D346" s="144"/>
      <c r="G346" s="180" t="s">
        <v>269</v>
      </c>
      <c r="H346" s="185"/>
    </row>
    <row r="347" spans="1:9">
      <c r="A347" s="144"/>
    </row>
  </sheetData>
  <mergeCells count="63">
    <mergeCell ref="B304:H304"/>
    <mergeCell ref="B306:B307"/>
    <mergeCell ref="C306:H307"/>
    <mergeCell ref="C308:H308"/>
    <mergeCell ref="B341:H341"/>
    <mergeCell ref="A286:C286"/>
    <mergeCell ref="A288:I288"/>
    <mergeCell ref="B289:I289"/>
    <mergeCell ref="B290:B291"/>
    <mergeCell ref="C290:H291"/>
    <mergeCell ref="C292:H292"/>
    <mergeCell ref="A248:I248"/>
    <mergeCell ref="A250:C250"/>
    <mergeCell ref="A251:I251"/>
    <mergeCell ref="A254:C254"/>
    <mergeCell ref="A255:I255"/>
    <mergeCell ref="A285:C285"/>
    <mergeCell ref="A146:I146"/>
    <mergeCell ref="A167:C167"/>
    <mergeCell ref="A168:I168"/>
    <mergeCell ref="A192:C192"/>
    <mergeCell ref="A193:I193"/>
    <mergeCell ref="A247:C247"/>
    <mergeCell ref="A118:I118"/>
    <mergeCell ref="A120:C120"/>
    <mergeCell ref="A121:I121"/>
    <mergeCell ref="A123:C123"/>
    <mergeCell ref="A124:I124"/>
    <mergeCell ref="A145:C145"/>
    <mergeCell ref="A85:I85"/>
    <mergeCell ref="A100:C100"/>
    <mergeCell ref="A101:I101"/>
    <mergeCell ref="A111:C111"/>
    <mergeCell ref="A112:I112"/>
    <mergeCell ref="A117:C117"/>
    <mergeCell ref="D68:E68"/>
    <mergeCell ref="G68:H68"/>
    <mergeCell ref="A70:I70"/>
    <mergeCell ref="A72:C72"/>
    <mergeCell ref="A73:I73"/>
    <mergeCell ref="A84:C84"/>
    <mergeCell ref="E54:F54"/>
    <mergeCell ref="A63:I63"/>
    <mergeCell ref="A64:I64"/>
    <mergeCell ref="A65:I65"/>
    <mergeCell ref="A67:A69"/>
    <mergeCell ref="B67:C69"/>
    <mergeCell ref="D67:E67"/>
    <mergeCell ref="F67:F69"/>
    <mergeCell ref="G67:H67"/>
    <mergeCell ref="I67:I69"/>
    <mergeCell ref="A8:B8"/>
    <mergeCell ref="A9:B9"/>
    <mergeCell ref="A10:B10"/>
    <mergeCell ref="E23:F23"/>
    <mergeCell ref="E51:F51"/>
    <mergeCell ref="E53:F53"/>
    <mergeCell ref="A1:F1"/>
    <mergeCell ref="A2:F2"/>
    <mergeCell ref="A3:F3"/>
    <mergeCell ref="A4:F4"/>
    <mergeCell ref="A5:F5"/>
    <mergeCell ref="E7:F7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2"/>
  <sheetViews>
    <sheetView topLeftCell="A286" workbookViewId="0">
      <selection activeCell="F257" sqref="F257"/>
    </sheetView>
  </sheetViews>
  <sheetFormatPr defaultRowHeight="15"/>
  <cols>
    <col min="1" max="1" width="5.140625" customWidth="1"/>
    <col min="2" max="2" width="5.28515625" customWidth="1"/>
    <col min="3" max="3" width="29" customWidth="1"/>
    <col min="4" max="4" width="18.7109375" customWidth="1"/>
    <col min="5" max="5" width="20.7109375" customWidth="1"/>
    <col min="6" max="6" width="18.7109375" customWidth="1"/>
    <col min="7" max="9" width="13.7109375" customWidth="1"/>
  </cols>
  <sheetData>
    <row r="1" spans="1:6" ht="30">
      <c r="A1" s="208" t="s">
        <v>0</v>
      </c>
      <c r="B1" s="208"/>
      <c r="C1" s="208"/>
      <c r="D1" s="208"/>
      <c r="E1" s="208"/>
      <c r="F1" s="208"/>
    </row>
    <row r="2" spans="1:6" ht="30">
      <c r="A2" s="208" t="s">
        <v>1</v>
      </c>
      <c r="B2" s="208"/>
      <c r="C2" s="208"/>
      <c r="D2" s="208"/>
      <c r="E2" s="208"/>
      <c r="F2" s="208"/>
    </row>
    <row r="3" spans="1:6" ht="30">
      <c r="A3" s="208" t="s">
        <v>2</v>
      </c>
      <c r="B3" s="208"/>
      <c r="C3" s="208"/>
      <c r="D3" s="208"/>
      <c r="E3" s="208"/>
      <c r="F3" s="208"/>
    </row>
    <row r="4" spans="1:6">
      <c r="A4" s="3" t="s">
        <v>3</v>
      </c>
      <c r="B4" s="3"/>
      <c r="C4" s="3"/>
      <c r="D4" s="3"/>
      <c r="E4" s="3"/>
      <c r="F4" s="3"/>
    </row>
    <row r="5" spans="1:6" ht="15.75" thickBot="1">
      <c r="A5" s="209" t="s">
        <v>4</v>
      </c>
      <c r="B5" s="209"/>
      <c r="C5" s="209"/>
      <c r="D5" s="209"/>
      <c r="E5" s="209"/>
      <c r="F5" s="209"/>
    </row>
    <row r="6" spans="1:6" ht="15.75" thickTop="1">
      <c r="A6" s="5"/>
      <c r="B6" s="5"/>
      <c r="C6" s="5"/>
      <c r="D6" s="5"/>
      <c r="E6" s="5"/>
      <c r="F6" s="5"/>
    </row>
    <row r="7" spans="1:6" ht="18.75">
      <c r="A7" s="6"/>
      <c r="B7" s="6"/>
      <c r="C7" s="6"/>
      <c r="D7" s="6"/>
      <c r="E7" s="7" t="s">
        <v>489</v>
      </c>
      <c r="F7" s="7"/>
    </row>
    <row r="8" spans="1:6" ht="18.75">
      <c r="A8" s="8" t="s">
        <v>6</v>
      </c>
      <c r="B8" s="8"/>
      <c r="C8" s="9" t="s">
        <v>490</v>
      </c>
      <c r="D8" s="10"/>
      <c r="E8" s="9"/>
      <c r="F8" s="10"/>
    </row>
    <row r="9" spans="1:6" ht="18.75">
      <c r="A9" s="8" t="s">
        <v>8</v>
      </c>
      <c r="B9" s="8"/>
      <c r="C9" s="9" t="s">
        <v>9</v>
      </c>
      <c r="D9" s="10"/>
      <c r="E9" s="9"/>
      <c r="F9" s="9"/>
    </row>
    <row r="10" spans="1:6" ht="18.75">
      <c r="A10" s="8" t="s">
        <v>10</v>
      </c>
      <c r="B10" s="8"/>
      <c r="C10" s="9" t="s">
        <v>11</v>
      </c>
      <c r="D10" s="10"/>
      <c r="E10" s="9"/>
      <c r="F10" s="9"/>
    </row>
    <row r="11" spans="1:6" ht="18.75">
      <c r="A11" s="9"/>
      <c r="B11" s="9"/>
      <c r="C11" s="9"/>
      <c r="D11" s="9"/>
      <c r="E11" s="9"/>
      <c r="F11" s="9"/>
    </row>
    <row r="12" spans="1:6" ht="18.75">
      <c r="A12" s="9"/>
      <c r="B12" s="9" t="s">
        <v>12</v>
      </c>
      <c r="C12" s="10"/>
      <c r="D12" s="10"/>
      <c r="E12" s="9"/>
      <c r="F12" s="9"/>
    </row>
    <row r="13" spans="1:6" ht="18.75">
      <c r="A13" s="9"/>
      <c r="B13" s="9" t="s">
        <v>13</v>
      </c>
      <c r="C13" s="10"/>
      <c r="D13" s="10"/>
      <c r="E13" s="9"/>
      <c r="F13" s="9"/>
    </row>
    <row r="14" spans="1:6" ht="18.75">
      <c r="A14" s="9"/>
      <c r="B14" s="9" t="s">
        <v>14</v>
      </c>
      <c r="C14" s="10"/>
      <c r="D14" s="10"/>
      <c r="E14" s="9"/>
      <c r="F14" s="9"/>
    </row>
    <row r="15" spans="1:6" ht="18.75">
      <c r="A15" s="9"/>
      <c r="B15" s="9" t="s">
        <v>15</v>
      </c>
      <c r="C15" s="10"/>
      <c r="D15" s="10"/>
      <c r="E15" s="9"/>
      <c r="F15" s="9"/>
    </row>
    <row r="16" spans="1:6" ht="18.75">
      <c r="A16" s="9"/>
      <c r="B16" s="9" t="s">
        <v>16</v>
      </c>
      <c r="C16" s="9"/>
      <c r="D16" s="10"/>
      <c r="E16" s="9"/>
      <c r="F16" s="9"/>
    </row>
    <row r="17" spans="1:6" ht="18.75">
      <c r="A17" s="9"/>
      <c r="B17" s="9" t="s">
        <v>17</v>
      </c>
      <c r="C17" s="9"/>
      <c r="D17" s="10"/>
      <c r="E17" s="9"/>
      <c r="F17" s="10"/>
    </row>
    <row r="18" spans="1:6" ht="18.75">
      <c r="A18" s="9"/>
      <c r="B18" s="9" t="s">
        <v>18</v>
      </c>
      <c r="C18" s="9"/>
      <c r="D18" s="10"/>
      <c r="E18" s="9"/>
      <c r="F18" s="9"/>
    </row>
    <row r="19" spans="1:6" ht="18.75">
      <c r="A19" s="9"/>
      <c r="B19" s="10"/>
      <c r="C19" s="9"/>
      <c r="D19" s="9"/>
      <c r="E19" s="9"/>
      <c r="F19" s="9"/>
    </row>
    <row r="20" spans="1:6" ht="19.5">
      <c r="A20" s="9"/>
      <c r="C20" s="11" t="s">
        <v>19</v>
      </c>
      <c r="D20" s="12"/>
      <c r="E20" s="9"/>
      <c r="F20" s="10"/>
    </row>
    <row r="21" spans="1:6" ht="18.75">
      <c r="B21" s="13" t="s">
        <v>20</v>
      </c>
      <c r="C21" s="13"/>
      <c r="D21" s="13"/>
      <c r="E21" s="13"/>
      <c r="F21" s="10"/>
    </row>
    <row r="22" spans="1:6" ht="18.75">
      <c r="B22" s="13" t="s">
        <v>491</v>
      </c>
      <c r="C22" s="13"/>
      <c r="D22" s="13"/>
      <c r="E22" s="13"/>
      <c r="F22" s="10"/>
    </row>
    <row r="23" spans="1:6" ht="15.75">
      <c r="A23" s="14"/>
      <c r="B23" s="14"/>
      <c r="C23" s="14"/>
      <c r="D23" s="14"/>
      <c r="E23" s="15" t="s">
        <v>22</v>
      </c>
      <c r="F23" s="15"/>
    </row>
    <row r="24" spans="1:6" ht="18.75">
      <c r="A24" s="14"/>
      <c r="B24" s="16" t="s">
        <v>23</v>
      </c>
      <c r="C24" s="16" t="s">
        <v>24</v>
      </c>
      <c r="D24" s="17" t="s">
        <v>25</v>
      </c>
      <c r="E24" s="17" t="s">
        <v>26</v>
      </c>
      <c r="F24" s="17" t="s">
        <v>27</v>
      </c>
    </row>
    <row r="25" spans="1:6" ht="18.75">
      <c r="A25" s="14"/>
      <c r="B25" s="18"/>
      <c r="C25" s="18"/>
      <c r="D25" s="19"/>
      <c r="E25" s="19"/>
      <c r="F25" s="19"/>
    </row>
    <row r="26" spans="1:6" ht="15.75">
      <c r="A26" s="14"/>
      <c r="B26" s="20">
        <v>1</v>
      </c>
      <c r="C26" s="21" t="s">
        <v>28</v>
      </c>
      <c r="D26" s="22"/>
      <c r="E26" s="22"/>
      <c r="F26" s="23"/>
    </row>
    <row r="27" spans="1:6" ht="15.75">
      <c r="A27" s="14"/>
      <c r="B27" s="20"/>
      <c r="C27" s="21" t="s">
        <v>29</v>
      </c>
      <c r="D27" s="22"/>
      <c r="E27" s="22"/>
      <c r="F27" s="23"/>
    </row>
    <row r="28" spans="1:6" ht="15.75">
      <c r="A28" s="14"/>
      <c r="B28" s="24"/>
      <c r="C28" s="25" t="s">
        <v>492</v>
      </c>
      <c r="D28" s="26"/>
      <c r="E28" s="26"/>
      <c r="F28" s="26">
        <f>[5]JUNI!F28</f>
        <v>1330064484</v>
      </c>
    </row>
    <row r="29" spans="1:6" ht="15.75">
      <c r="A29" s="14"/>
      <c r="B29" s="24"/>
      <c r="C29" s="25" t="s">
        <v>493</v>
      </c>
      <c r="D29" s="27">
        <f>116890787</f>
        <v>116890787</v>
      </c>
      <c r="E29" s="28"/>
      <c r="F29" s="26"/>
    </row>
    <row r="30" spans="1:6" ht="15.75">
      <c r="A30" s="14"/>
      <c r="B30" s="24"/>
      <c r="C30" s="25" t="s">
        <v>494</v>
      </c>
      <c r="D30" s="26"/>
      <c r="E30" s="29">
        <f>6950000</f>
        <v>6950000</v>
      </c>
      <c r="F30" s="26"/>
    </row>
    <row r="31" spans="1:6" ht="15.75">
      <c r="A31" s="14"/>
      <c r="B31" s="24"/>
      <c r="C31" s="30" t="s">
        <v>33</v>
      </c>
      <c r="D31" s="26"/>
      <c r="E31" s="29"/>
      <c r="F31" s="31">
        <f>F28+D29-E30</f>
        <v>1440005271</v>
      </c>
    </row>
    <row r="32" spans="1:6" ht="15.75">
      <c r="A32" s="14"/>
      <c r="B32" s="20"/>
      <c r="C32" s="32" t="s">
        <v>34</v>
      </c>
      <c r="D32" s="33"/>
      <c r="E32" s="33"/>
      <c r="F32" s="34"/>
    </row>
    <row r="33" spans="1:6" ht="15.75">
      <c r="A33" s="14"/>
      <c r="B33" s="24"/>
      <c r="C33" s="35" t="s">
        <v>492</v>
      </c>
      <c r="D33" s="29"/>
      <c r="E33" s="36"/>
      <c r="F33" s="37">
        <f>[5]JUNI!F30</f>
        <v>2550000</v>
      </c>
    </row>
    <row r="34" spans="1:6" ht="15.75">
      <c r="A34" s="14"/>
      <c r="B34" s="24"/>
      <c r="C34" s="25" t="s">
        <v>493</v>
      </c>
      <c r="D34" s="37">
        <f>0</f>
        <v>0</v>
      </c>
      <c r="E34" s="36"/>
      <c r="F34" s="37"/>
    </row>
    <row r="35" spans="1:6" ht="15.75">
      <c r="A35" s="14"/>
      <c r="B35" s="24"/>
      <c r="C35" s="25" t="s">
        <v>494</v>
      </c>
      <c r="D35" s="29"/>
      <c r="E35" s="36">
        <f>0</f>
        <v>0</v>
      </c>
      <c r="F35" s="37"/>
    </row>
    <row r="36" spans="1:6" ht="15.75">
      <c r="A36" s="14"/>
      <c r="B36" s="24"/>
      <c r="C36" s="30" t="s">
        <v>33</v>
      </c>
      <c r="D36" s="38"/>
      <c r="E36" s="38"/>
      <c r="F36" s="31">
        <f>F33+D34-E35</f>
        <v>2550000</v>
      </c>
    </row>
    <row r="37" spans="1:6" ht="15.75">
      <c r="A37" s="14"/>
      <c r="B37" s="24"/>
      <c r="C37" s="30" t="s">
        <v>35</v>
      </c>
      <c r="D37" s="31">
        <f>D29+D34</f>
        <v>116890787</v>
      </c>
      <c r="E37" s="39">
        <f>E30+E35</f>
        <v>6950000</v>
      </c>
      <c r="F37" s="40">
        <f>F31+F36</f>
        <v>1442555271</v>
      </c>
    </row>
    <row r="38" spans="1:6" ht="15.75">
      <c r="A38" s="14"/>
      <c r="B38" s="20">
        <v>2</v>
      </c>
      <c r="C38" s="32" t="s">
        <v>36</v>
      </c>
      <c r="D38" s="33"/>
      <c r="E38" s="41"/>
      <c r="F38" s="42"/>
    </row>
    <row r="39" spans="1:6" ht="15.75">
      <c r="A39" s="14"/>
      <c r="B39" s="20"/>
      <c r="C39" s="32" t="s">
        <v>29</v>
      </c>
      <c r="D39" s="33"/>
      <c r="E39" s="41"/>
      <c r="F39" s="42"/>
    </row>
    <row r="40" spans="1:6" ht="15.75">
      <c r="A40" s="43"/>
      <c r="B40" s="24"/>
      <c r="C40" s="25" t="s">
        <v>492</v>
      </c>
      <c r="D40" s="26"/>
      <c r="E40" s="44"/>
      <c r="F40" s="39">
        <f>[5]JUNI!F40</f>
        <v>945095011</v>
      </c>
    </row>
    <row r="41" spans="1:6" ht="15.75">
      <c r="A41" s="45"/>
      <c r="B41" s="24"/>
      <c r="C41" s="25" t="s">
        <v>493</v>
      </c>
      <c r="D41" s="46">
        <f>116971934</f>
        <v>116971934</v>
      </c>
      <c r="E41" s="47"/>
      <c r="F41" s="44"/>
    </row>
    <row r="42" spans="1:6" ht="15.75">
      <c r="A42" s="14"/>
      <c r="B42" s="24"/>
      <c r="C42" s="25" t="s">
        <v>422</v>
      </c>
      <c r="D42" s="28"/>
      <c r="E42" s="48">
        <f>2998812</f>
        <v>2998812</v>
      </c>
      <c r="F42" s="44"/>
    </row>
    <row r="43" spans="1:6" ht="15.75">
      <c r="A43" s="14"/>
      <c r="B43" s="20"/>
      <c r="C43" s="49" t="s">
        <v>37</v>
      </c>
      <c r="D43" s="38"/>
      <c r="E43" s="50"/>
      <c r="F43" s="51">
        <f>F40+D41-E42</f>
        <v>1059068133</v>
      </c>
    </row>
    <row r="44" spans="1:6" ht="15.75">
      <c r="A44" s="14"/>
      <c r="B44" s="24"/>
      <c r="C44" s="52" t="s">
        <v>495</v>
      </c>
      <c r="D44" s="53">
        <f>D29+D41</f>
        <v>233862721</v>
      </c>
      <c r="E44" s="53">
        <f>E30+E42</f>
        <v>9948812</v>
      </c>
      <c r="F44" s="31">
        <f>F37+F43</f>
        <v>2501623404</v>
      </c>
    </row>
    <row r="45" spans="1:6" ht="15.75">
      <c r="B45" s="54" t="s">
        <v>340</v>
      </c>
      <c r="C45" s="54"/>
      <c r="D45" s="54"/>
      <c r="E45" s="54"/>
      <c r="F45" s="54"/>
    </row>
    <row r="46" spans="1:6" ht="18.75">
      <c r="A46" s="55"/>
      <c r="B46" s="201" t="s">
        <v>341</v>
      </c>
      <c r="C46" s="10"/>
      <c r="D46" s="57"/>
      <c r="E46" s="10"/>
      <c r="F46" s="58"/>
    </row>
    <row r="47" spans="1:6" ht="18.75">
      <c r="A47" s="55"/>
      <c r="B47" s="201" t="s">
        <v>342</v>
      </c>
      <c r="C47" s="10"/>
      <c r="D47" s="57"/>
      <c r="E47" s="10"/>
      <c r="F47" s="58"/>
    </row>
    <row r="48" spans="1:6" ht="18.75">
      <c r="A48" s="55"/>
      <c r="B48" s="201" t="s">
        <v>343</v>
      </c>
      <c r="C48" s="10"/>
      <c r="D48" s="57"/>
      <c r="E48" s="10"/>
      <c r="F48" s="58"/>
    </row>
    <row r="49" spans="1:9" ht="18.75">
      <c r="A49" s="14"/>
      <c r="B49" s="59"/>
      <c r="C49" s="60" t="s">
        <v>40</v>
      </c>
      <c r="D49" s="61"/>
      <c r="E49" s="60"/>
      <c r="F49" s="58"/>
    </row>
    <row r="50" spans="1:9" ht="19.5">
      <c r="A50" s="62"/>
      <c r="B50" s="59"/>
      <c r="C50" s="63" t="s">
        <v>41</v>
      </c>
      <c r="D50" s="64"/>
      <c r="E50" s="65"/>
      <c r="F50" s="66"/>
    </row>
    <row r="51" spans="1:9" ht="18.75">
      <c r="A51" s="62"/>
      <c r="B51" s="62"/>
      <c r="C51" s="67" t="s">
        <v>42</v>
      </c>
      <c r="D51" s="10"/>
      <c r="E51" s="68" t="s">
        <v>43</v>
      </c>
      <c r="F51" s="68"/>
    </row>
    <row r="52" spans="1:9" ht="18.75">
      <c r="A52" s="62"/>
      <c r="B52" s="62"/>
      <c r="C52" s="67"/>
      <c r="D52" s="10"/>
      <c r="E52" s="69"/>
      <c r="F52" s="69"/>
    </row>
    <row r="53" spans="1:9" ht="18.75">
      <c r="A53" s="62"/>
      <c r="B53" s="62"/>
      <c r="C53" s="70" t="s">
        <v>344</v>
      </c>
      <c r="D53" s="71"/>
      <c r="E53" s="72" t="s">
        <v>344</v>
      </c>
      <c r="F53" s="72"/>
    </row>
    <row r="54" spans="1:9" ht="18.75">
      <c r="A54" s="62"/>
      <c r="B54" s="62"/>
      <c r="C54" s="73" t="s">
        <v>45</v>
      </c>
      <c r="D54" s="74"/>
      <c r="E54" s="75" t="s">
        <v>46</v>
      </c>
      <c r="F54" s="75"/>
    </row>
    <row r="55" spans="1:9" ht="18.75">
      <c r="A55" s="59"/>
      <c r="B55" s="76" t="s">
        <v>47</v>
      </c>
      <c r="C55" s="9"/>
      <c r="D55" s="77"/>
      <c r="E55" s="62"/>
      <c r="F55" s="62"/>
    </row>
    <row r="56" spans="1:9" ht="18.75">
      <c r="A56" s="59"/>
      <c r="B56" s="9" t="s">
        <v>48</v>
      </c>
      <c r="C56" s="9"/>
      <c r="D56" s="78"/>
      <c r="E56" s="62"/>
      <c r="F56" s="62"/>
    </row>
    <row r="57" spans="1:9" ht="18.75">
      <c r="A57" s="59"/>
      <c r="B57" s="9" t="s">
        <v>49</v>
      </c>
      <c r="C57" s="9"/>
      <c r="D57" s="14"/>
      <c r="E57" s="62"/>
      <c r="F57" s="62"/>
    </row>
    <row r="58" spans="1:9" ht="18.75">
      <c r="A58" s="59"/>
      <c r="B58" s="9" t="s">
        <v>50</v>
      </c>
      <c r="C58" s="9"/>
      <c r="D58" s="14"/>
      <c r="E58" s="62"/>
      <c r="F58" s="62"/>
    </row>
    <row r="59" spans="1:9" ht="18.75">
      <c r="A59" s="59"/>
      <c r="B59" s="9" t="s">
        <v>51</v>
      </c>
      <c r="C59" s="9"/>
      <c r="D59" s="14"/>
      <c r="E59" s="62"/>
      <c r="F59" s="62"/>
    </row>
    <row r="62" spans="1:9" ht="18.75">
      <c r="A62" s="80" t="s">
        <v>52</v>
      </c>
    </row>
    <row r="64" spans="1:9" ht="22.5">
      <c r="A64" s="81" t="s">
        <v>53</v>
      </c>
      <c r="B64" s="81"/>
      <c r="C64" s="81"/>
      <c r="D64" s="81"/>
      <c r="E64" s="81"/>
      <c r="F64" s="81"/>
      <c r="G64" s="81"/>
      <c r="H64" s="81"/>
      <c r="I64" s="81"/>
    </row>
    <row r="65" spans="1:9" ht="22.5">
      <c r="A65" s="81" t="s">
        <v>54</v>
      </c>
      <c r="B65" s="81"/>
      <c r="C65" s="81"/>
      <c r="D65" s="81"/>
      <c r="E65" s="81"/>
      <c r="F65" s="81"/>
      <c r="G65" s="81"/>
      <c r="H65" s="81"/>
      <c r="I65" s="81"/>
    </row>
    <row r="66" spans="1:9" ht="20.25">
      <c r="A66" s="82" t="s">
        <v>496</v>
      </c>
      <c r="B66" s="82"/>
      <c r="C66" s="82"/>
      <c r="D66" s="82"/>
      <c r="E66" s="82"/>
      <c r="F66" s="82"/>
      <c r="G66" s="82"/>
      <c r="H66" s="82"/>
      <c r="I66" s="82"/>
    </row>
    <row r="67" spans="1:9" ht="15.75" thickBot="1">
      <c r="A67" s="83"/>
      <c r="B67" s="83"/>
      <c r="C67" s="83"/>
      <c r="D67" s="83"/>
      <c r="E67" s="83"/>
      <c r="F67" s="83"/>
      <c r="G67" s="83"/>
      <c r="H67" s="83"/>
      <c r="I67" s="83"/>
    </row>
    <row r="68" spans="1:9" ht="15.75" thickTop="1">
      <c r="A68" s="84" t="s">
        <v>23</v>
      </c>
      <c r="B68" s="85" t="s">
        <v>56</v>
      </c>
      <c r="C68" s="86"/>
      <c r="D68" s="211" t="s">
        <v>57</v>
      </c>
      <c r="E68" s="212"/>
      <c r="F68" s="213" t="s">
        <v>58</v>
      </c>
      <c r="G68" s="211" t="s">
        <v>57</v>
      </c>
      <c r="H68" s="212"/>
      <c r="I68" s="89" t="s">
        <v>58</v>
      </c>
    </row>
    <row r="69" spans="1:9">
      <c r="A69" s="90"/>
      <c r="B69" s="91"/>
      <c r="C69" s="92"/>
      <c r="D69" s="214" t="s">
        <v>425</v>
      </c>
      <c r="E69" s="215"/>
      <c r="F69" s="216"/>
      <c r="G69" s="214" t="s">
        <v>497</v>
      </c>
      <c r="H69" s="215"/>
      <c r="I69" s="95"/>
    </row>
    <row r="70" spans="1:9">
      <c r="A70" s="96"/>
      <c r="B70" s="97"/>
      <c r="C70" s="98"/>
      <c r="D70" s="217" t="s">
        <v>28</v>
      </c>
      <c r="E70" s="217" t="s">
        <v>61</v>
      </c>
      <c r="F70" s="218"/>
      <c r="G70" s="217" t="s">
        <v>28</v>
      </c>
      <c r="H70" s="217" t="s">
        <v>61</v>
      </c>
      <c r="I70" s="100"/>
    </row>
    <row r="71" spans="1:9">
      <c r="A71" s="101" t="s">
        <v>62</v>
      </c>
      <c r="B71" s="102"/>
      <c r="C71" s="102"/>
      <c r="D71" s="102"/>
      <c r="E71" s="102"/>
      <c r="F71" s="102"/>
      <c r="G71" s="102"/>
      <c r="H71" s="102"/>
      <c r="I71" s="103"/>
    </row>
    <row r="72" spans="1:9">
      <c r="A72" s="104">
        <v>1</v>
      </c>
      <c r="B72" s="104">
        <v>1</v>
      </c>
      <c r="C72" s="105" t="s">
        <v>63</v>
      </c>
      <c r="D72" s="106">
        <v>2007300</v>
      </c>
      <c r="E72" s="107">
        <f>0</f>
        <v>0</v>
      </c>
      <c r="F72" s="106">
        <f>SUM(D72:E72)</f>
        <v>2007300</v>
      </c>
      <c r="G72" s="106">
        <f>0</f>
        <v>0</v>
      </c>
      <c r="H72" s="107">
        <f>0</f>
        <v>0</v>
      </c>
      <c r="I72" s="106">
        <f>SUM(G72:H72)</f>
        <v>0</v>
      </c>
    </row>
    <row r="73" spans="1:9">
      <c r="A73" s="108" t="s">
        <v>58</v>
      </c>
      <c r="B73" s="109"/>
      <c r="C73" s="109"/>
      <c r="D73" s="110">
        <f>D72</f>
        <v>2007300</v>
      </c>
      <c r="E73" s="111">
        <f>E72</f>
        <v>0</v>
      </c>
      <c r="F73" s="112">
        <f>SUM(D73:E73)</f>
        <v>2007300</v>
      </c>
      <c r="G73" s="110">
        <f>G72</f>
        <v>0</v>
      </c>
      <c r="H73" s="111">
        <f>H72</f>
        <v>0</v>
      </c>
      <c r="I73" s="112">
        <f>SUM(G73:H73)</f>
        <v>0</v>
      </c>
    </row>
    <row r="74" spans="1:9">
      <c r="A74" s="108" t="s">
        <v>64</v>
      </c>
      <c r="B74" s="109"/>
      <c r="C74" s="109"/>
      <c r="D74" s="109"/>
      <c r="E74" s="109"/>
      <c r="F74" s="109"/>
      <c r="G74" s="109"/>
      <c r="H74" s="109"/>
      <c r="I74" s="113"/>
    </row>
    <row r="75" spans="1:9">
      <c r="A75" s="114">
        <v>2</v>
      </c>
      <c r="B75" s="115">
        <v>1</v>
      </c>
      <c r="C75" s="116" t="s">
        <v>65</v>
      </c>
      <c r="D75" s="106">
        <v>1757400</v>
      </c>
      <c r="E75" s="106">
        <v>509000</v>
      </c>
      <c r="F75" s="117">
        <f>SUM(D75:E75)</f>
        <v>2266400</v>
      </c>
      <c r="G75" s="106">
        <f>1779400+1757400+1757400+1757400</f>
        <v>7051600</v>
      </c>
      <c r="H75" s="106">
        <f>504000+509000+509000+509000</f>
        <v>2031000</v>
      </c>
      <c r="I75" s="117">
        <f>SUM(G75:H75)</f>
        <v>9082600</v>
      </c>
    </row>
    <row r="76" spans="1:9">
      <c r="A76" s="114">
        <v>3</v>
      </c>
      <c r="B76" s="115">
        <v>2</v>
      </c>
      <c r="C76" s="116" t="s">
        <v>66</v>
      </c>
      <c r="D76" s="106">
        <v>879294</v>
      </c>
      <c r="E76" s="106">
        <v>296550</v>
      </c>
      <c r="F76" s="117">
        <f t="shared" ref="F76:F84" si="0">SUM(D76:E76)</f>
        <v>1175844</v>
      </c>
      <c r="G76" s="106">
        <v>959587</v>
      </c>
      <c r="H76" s="106">
        <v>296550</v>
      </c>
      <c r="I76" s="117">
        <f t="shared" ref="I76:I84" si="1">SUM(G76:H76)</f>
        <v>1256137</v>
      </c>
    </row>
    <row r="77" spans="1:9">
      <c r="A77" s="114">
        <v>4</v>
      </c>
      <c r="B77" s="115">
        <v>3</v>
      </c>
      <c r="C77" s="116" t="s">
        <v>67</v>
      </c>
      <c r="D77" s="106">
        <v>2404500</v>
      </c>
      <c r="E77" s="118">
        <v>270000</v>
      </c>
      <c r="F77" s="117">
        <f t="shared" si="0"/>
        <v>2674500</v>
      </c>
      <c r="G77" s="106">
        <v>2404500</v>
      </c>
      <c r="H77" s="118">
        <v>269300</v>
      </c>
      <c r="I77" s="117">
        <f t="shared" si="1"/>
        <v>2673800</v>
      </c>
    </row>
    <row r="78" spans="1:9">
      <c r="A78" s="114">
        <v>5</v>
      </c>
      <c r="B78" s="115">
        <v>4</v>
      </c>
      <c r="C78" s="116" t="s">
        <v>68</v>
      </c>
      <c r="D78" s="106">
        <v>1467063</v>
      </c>
      <c r="E78" s="106">
        <v>44000</v>
      </c>
      <c r="F78" s="117">
        <f t="shared" si="0"/>
        <v>1511063</v>
      </c>
      <c r="G78" s="106">
        <v>1467063</v>
      </c>
      <c r="H78" s="106">
        <v>44000</v>
      </c>
      <c r="I78" s="117">
        <f t="shared" si="1"/>
        <v>1511063</v>
      </c>
    </row>
    <row r="79" spans="1:9">
      <c r="A79" s="114">
        <v>6</v>
      </c>
      <c r="B79" s="115">
        <v>5</v>
      </c>
      <c r="C79" s="116" t="s">
        <v>69</v>
      </c>
      <c r="D79" s="106">
        <v>2114100</v>
      </c>
      <c r="E79" s="106">
        <v>147300</v>
      </c>
      <c r="F79" s="117">
        <f t="shared" si="0"/>
        <v>2261400</v>
      </c>
      <c r="G79" s="106">
        <v>2114100</v>
      </c>
      <c r="H79" s="106">
        <v>147300</v>
      </c>
      <c r="I79" s="117">
        <f t="shared" si="1"/>
        <v>2261400</v>
      </c>
    </row>
    <row r="80" spans="1:9">
      <c r="A80" s="114">
        <v>7</v>
      </c>
      <c r="B80" s="115">
        <v>6</v>
      </c>
      <c r="C80" s="116" t="s">
        <v>426</v>
      </c>
      <c r="D80" s="106">
        <v>4104100</v>
      </c>
      <c r="E80" s="106">
        <f>0</f>
        <v>0</v>
      </c>
      <c r="F80" s="117">
        <f t="shared" si="0"/>
        <v>4104100</v>
      </c>
      <c r="G80" s="106">
        <v>3978300</v>
      </c>
      <c r="H80" s="106">
        <f>0</f>
        <v>0</v>
      </c>
      <c r="I80" s="117">
        <f t="shared" si="1"/>
        <v>3978300</v>
      </c>
    </row>
    <row r="81" spans="1:9">
      <c r="A81" s="114">
        <v>8</v>
      </c>
      <c r="B81" s="115">
        <v>7</v>
      </c>
      <c r="C81" s="116" t="s">
        <v>71</v>
      </c>
      <c r="D81" s="106">
        <v>1507300</v>
      </c>
      <c r="E81" s="106">
        <v>1974500</v>
      </c>
      <c r="F81" s="117">
        <f t="shared" si="0"/>
        <v>3481800</v>
      </c>
      <c r="G81" s="106">
        <v>1507700</v>
      </c>
      <c r="H81" s="106">
        <v>1964500</v>
      </c>
      <c r="I81" s="117">
        <f t="shared" si="1"/>
        <v>3472200</v>
      </c>
    </row>
    <row r="82" spans="1:9">
      <c r="A82" s="114">
        <v>9</v>
      </c>
      <c r="B82" s="115">
        <v>8</v>
      </c>
      <c r="C82" s="116" t="s">
        <v>72</v>
      </c>
      <c r="D82" s="106">
        <v>527000</v>
      </c>
      <c r="E82" s="106">
        <v>885000</v>
      </c>
      <c r="F82" s="117">
        <f t="shared" si="0"/>
        <v>1412000</v>
      </c>
      <c r="G82" s="106">
        <v>610000</v>
      </c>
      <c r="H82" s="106">
        <v>870000</v>
      </c>
      <c r="I82" s="117">
        <f t="shared" si="1"/>
        <v>1480000</v>
      </c>
    </row>
    <row r="83" spans="1:9">
      <c r="A83" s="114">
        <v>10</v>
      </c>
      <c r="B83" s="115">
        <v>9</v>
      </c>
      <c r="C83" s="116" t="s">
        <v>73</v>
      </c>
      <c r="D83" s="106">
        <v>1509350</v>
      </c>
      <c r="E83" s="106">
        <v>52000</v>
      </c>
      <c r="F83" s="117">
        <f t="shared" si="0"/>
        <v>1561350</v>
      </c>
      <c r="G83" s="106">
        <v>1511750</v>
      </c>
      <c r="H83" s="106">
        <v>52000</v>
      </c>
      <c r="I83" s="117">
        <f t="shared" si="1"/>
        <v>1563750</v>
      </c>
    </row>
    <row r="84" spans="1:9">
      <c r="A84" s="114">
        <v>11</v>
      </c>
      <c r="B84" s="115">
        <v>10</v>
      </c>
      <c r="C84" s="119" t="s">
        <v>74</v>
      </c>
      <c r="D84" s="106">
        <v>320515</v>
      </c>
      <c r="E84" s="106">
        <v>58000</v>
      </c>
      <c r="F84" s="117">
        <f t="shared" si="0"/>
        <v>378515</v>
      </c>
      <c r="G84" s="106">
        <v>320515</v>
      </c>
      <c r="H84" s="106">
        <v>58000</v>
      </c>
      <c r="I84" s="117">
        <f t="shared" si="1"/>
        <v>378515</v>
      </c>
    </row>
    <row r="85" spans="1:9">
      <c r="A85" s="108" t="s">
        <v>58</v>
      </c>
      <c r="B85" s="109"/>
      <c r="C85" s="109"/>
      <c r="D85" s="110">
        <f>SUM(D75:D84)</f>
        <v>16590622</v>
      </c>
      <c r="E85" s="110">
        <f>SUM(E75:E84)</f>
        <v>4236350</v>
      </c>
      <c r="F85" s="110">
        <f>SUM(D85:E85)</f>
        <v>20826972</v>
      </c>
      <c r="G85" s="110">
        <f>SUM(G75:G84)</f>
        <v>21925115</v>
      </c>
      <c r="H85" s="110">
        <f>SUM(H75:H84)</f>
        <v>5732650</v>
      </c>
      <c r="I85" s="110">
        <f>SUM(G85:H85)</f>
        <v>27657765</v>
      </c>
    </row>
    <row r="86" spans="1:9">
      <c r="A86" s="108" t="s">
        <v>75</v>
      </c>
      <c r="B86" s="109"/>
      <c r="C86" s="109"/>
      <c r="D86" s="109"/>
      <c r="E86" s="109"/>
      <c r="F86" s="109"/>
      <c r="G86" s="109"/>
      <c r="H86" s="109"/>
      <c r="I86" s="113"/>
    </row>
    <row r="87" spans="1:9">
      <c r="A87" s="120">
        <v>12</v>
      </c>
      <c r="B87" s="119">
        <v>1</v>
      </c>
      <c r="C87" s="116" t="s">
        <v>76</v>
      </c>
      <c r="D87" s="106">
        <v>2639415</v>
      </c>
      <c r="E87" s="106">
        <v>1896215</v>
      </c>
      <c r="F87" s="117">
        <f>SUM(D87:E87)</f>
        <v>4535630</v>
      </c>
      <c r="G87" s="106">
        <v>2553078</v>
      </c>
      <c r="H87" s="219">
        <v>1868215</v>
      </c>
      <c r="I87" s="117">
        <f>SUM(G87:H87)</f>
        <v>4421293</v>
      </c>
    </row>
    <row r="88" spans="1:9">
      <c r="A88" s="120">
        <v>13</v>
      </c>
      <c r="B88" s="119">
        <v>2</v>
      </c>
      <c r="C88" s="116" t="s">
        <v>77</v>
      </c>
      <c r="D88" s="106">
        <v>3764206</v>
      </c>
      <c r="E88" s="106">
        <v>5160000</v>
      </c>
      <c r="F88" s="117">
        <f t="shared" ref="F88:F100" si="2">SUM(D88:E88)</f>
        <v>8924206</v>
      </c>
      <c r="G88" s="106">
        <v>3690286</v>
      </c>
      <c r="H88" s="106">
        <v>5155000</v>
      </c>
      <c r="I88" s="117">
        <f t="shared" ref="I88:I100" si="3">SUM(G88:H88)</f>
        <v>8845286</v>
      </c>
    </row>
    <row r="89" spans="1:9">
      <c r="A89" s="120">
        <v>14</v>
      </c>
      <c r="B89" s="119">
        <v>3</v>
      </c>
      <c r="C89" s="116" t="s">
        <v>78</v>
      </c>
      <c r="D89" s="106">
        <v>2845300</v>
      </c>
      <c r="E89" s="106">
        <v>790000</v>
      </c>
      <c r="F89" s="117">
        <f t="shared" si="2"/>
        <v>3635300</v>
      </c>
      <c r="G89" s="106">
        <v>2845300</v>
      </c>
      <c r="H89" s="106">
        <v>790000</v>
      </c>
      <c r="I89" s="117">
        <f t="shared" si="3"/>
        <v>3635300</v>
      </c>
    </row>
    <row r="90" spans="1:9">
      <c r="A90" s="120">
        <v>15</v>
      </c>
      <c r="B90" s="119">
        <v>4</v>
      </c>
      <c r="C90" s="116" t="s">
        <v>79</v>
      </c>
      <c r="D90" s="106">
        <v>966440</v>
      </c>
      <c r="E90" s="106">
        <v>1470392</v>
      </c>
      <c r="F90" s="117">
        <f t="shared" si="2"/>
        <v>2436832</v>
      </c>
      <c r="G90" s="106">
        <v>966440</v>
      </c>
      <c r="H90" s="106">
        <v>1440392</v>
      </c>
      <c r="I90" s="117">
        <f t="shared" si="3"/>
        <v>2406832</v>
      </c>
    </row>
    <row r="91" spans="1:9">
      <c r="A91" s="120">
        <v>16</v>
      </c>
      <c r="B91" s="119">
        <v>5</v>
      </c>
      <c r="C91" s="116" t="s">
        <v>80</v>
      </c>
      <c r="D91" s="106">
        <v>2735200</v>
      </c>
      <c r="E91" s="106">
        <v>105000</v>
      </c>
      <c r="F91" s="117">
        <f t="shared" si="2"/>
        <v>2840200</v>
      </c>
      <c r="G91" s="106">
        <v>2735200</v>
      </c>
      <c r="H91" s="106">
        <v>100000</v>
      </c>
      <c r="I91" s="117">
        <f t="shared" si="3"/>
        <v>2835200</v>
      </c>
    </row>
    <row r="92" spans="1:9">
      <c r="A92" s="120">
        <v>17</v>
      </c>
      <c r="B92" s="119">
        <v>6</v>
      </c>
      <c r="C92" s="116" t="s">
        <v>81</v>
      </c>
      <c r="D92" s="106">
        <v>2089500</v>
      </c>
      <c r="E92" s="106">
        <v>145000</v>
      </c>
      <c r="F92" s="117">
        <f t="shared" si="2"/>
        <v>2234500</v>
      </c>
      <c r="G92" s="106">
        <v>2089500</v>
      </c>
      <c r="H92" s="106">
        <v>145000</v>
      </c>
      <c r="I92" s="117">
        <f t="shared" si="3"/>
        <v>2234500</v>
      </c>
    </row>
    <row r="93" spans="1:9">
      <c r="A93" s="120">
        <v>18</v>
      </c>
      <c r="B93" s="119">
        <v>7</v>
      </c>
      <c r="C93" s="116" t="s">
        <v>82</v>
      </c>
      <c r="D93" s="106">
        <v>4352100</v>
      </c>
      <c r="E93" s="106">
        <v>189800</v>
      </c>
      <c r="F93" s="117">
        <f t="shared" si="2"/>
        <v>4541900</v>
      </c>
      <c r="G93" s="106">
        <v>4354700</v>
      </c>
      <c r="H93" s="106">
        <v>189700</v>
      </c>
      <c r="I93" s="117">
        <f t="shared" si="3"/>
        <v>4544400</v>
      </c>
    </row>
    <row r="94" spans="1:9">
      <c r="A94" s="120">
        <v>19</v>
      </c>
      <c r="B94" s="119">
        <v>8</v>
      </c>
      <c r="C94" s="116" t="s">
        <v>83</v>
      </c>
      <c r="D94" s="106">
        <v>1068028</v>
      </c>
      <c r="E94" s="106">
        <v>665700</v>
      </c>
      <c r="F94" s="117">
        <f t="shared" si="2"/>
        <v>1733728</v>
      </c>
      <c r="G94" s="106">
        <v>1068028</v>
      </c>
      <c r="H94" s="106">
        <v>865700</v>
      </c>
      <c r="I94" s="117">
        <f t="shared" si="3"/>
        <v>1933728</v>
      </c>
    </row>
    <row r="95" spans="1:9">
      <c r="A95" s="120">
        <v>20</v>
      </c>
      <c r="B95" s="119">
        <v>9</v>
      </c>
      <c r="C95" s="116" t="s">
        <v>84</v>
      </c>
      <c r="D95" s="106">
        <v>748000</v>
      </c>
      <c r="E95" s="106">
        <v>162000</v>
      </c>
      <c r="F95" s="117">
        <f t="shared" si="2"/>
        <v>910000</v>
      </c>
      <c r="G95" s="106">
        <f>0</f>
        <v>0</v>
      </c>
      <c r="H95" s="106">
        <f>0</f>
        <v>0</v>
      </c>
      <c r="I95" s="117">
        <f t="shared" si="3"/>
        <v>0</v>
      </c>
    </row>
    <row r="96" spans="1:9">
      <c r="A96" s="120">
        <v>21</v>
      </c>
      <c r="B96" s="119">
        <v>10</v>
      </c>
      <c r="C96" s="116" t="s">
        <v>85</v>
      </c>
      <c r="D96" s="106">
        <v>3248107</v>
      </c>
      <c r="E96" s="106">
        <v>59000</v>
      </c>
      <c r="F96" s="117">
        <f t="shared" si="2"/>
        <v>3307107</v>
      </c>
      <c r="G96" s="106">
        <v>3013114</v>
      </c>
      <c r="H96" s="106">
        <v>58000</v>
      </c>
      <c r="I96" s="117">
        <f t="shared" si="3"/>
        <v>3071114</v>
      </c>
    </row>
    <row r="97" spans="1:9">
      <c r="A97" s="120">
        <v>22</v>
      </c>
      <c r="B97" s="119">
        <v>11</v>
      </c>
      <c r="C97" s="116" t="s">
        <v>427</v>
      </c>
      <c r="D97" s="106">
        <v>2798226</v>
      </c>
      <c r="E97" s="106">
        <v>1370000</v>
      </c>
      <c r="F97" s="117">
        <f t="shared" si="2"/>
        <v>4168226</v>
      </c>
      <c r="G97" s="106">
        <v>2801396</v>
      </c>
      <c r="H97" s="106">
        <v>1370000</v>
      </c>
      <c r="I97" s="117">
        <f t="shared" si="3"/>
        <v>4171396</v>
      </c>
    </row>
    <row r="98" spans="1:9">
      <c r="A98" s="120">
        <v>23</v>
      </c>
      <c r="B98" s="119">
        <v>12</v>
      </c>
      <c r="C98" s="116" t="s">
        <v>87</v>
      </c>
      <c r="D98" s="106">
        <v>1572800</v>
      </c>
      <c r="E98" s="106">
        <v>484192</v>
      </c>
      <c r="F98" s="117">
        <f t="shared" si="2"/>
        <v>2056992</v>
      </c>
      <c r="G98" s="106">
        <v>1572800</v>
      </c>
      <c r="H98" s="106">
        <v>464192</v>
      </c>
      <c r="I98" s="117">
        <f t="shared" si="3"/>
        <v>2036992</v>
      </c>
    </row>
    <row r="99" spans="1:9">
      <c r="A99" s="120">
        <v>24</v>
      </c>
      <c r="B99" s="119">
        <v>13</v>
      </c>
      <c r="C99" s="116" t="s">
        <v>88</v>
      </c>
      <c r="D99" s="106">
        <f>0</f>
        <v>0</v>
      </c>
      <c r="E99" s="219">
        <f>1650500+675000</f>
        <v>2325500</v>
      </c>
      <c r="F99" s="117">
        <f t="shared" si="2"/>
        <v>2325500</v>
      </c>
      <c r="G99" s="106">
        <v>1723000</v>
      </c>
      <c r="H99" s="219">
        <v>665000</v>
      </c>
      <c r="I99" s="117">
        <f t="shared" si="3"/>
        <v>2388000</v>
      </c>
    </row>
    <row r="100" spans="1:9">
      <c r="A100" s="120">
        <v>25</v>
      </c>
      <c r="B100" s="119">
        <v>14</v>
      </c>
      <c r="C100" s="116" t="s">
        <v>89</v>
      </c>
      <c r="D100" s="106">
        <v>182200</v>
      </c>
      <c r="E100" s="106">
        <v>274000</v>
      </c>
      <c r="F100" s="117">
        <f t="shared" si="2"/>
        <v>456200</v>
      </c>
      <c r="G100" s="106">
        <f>0</f>
        <v>0</v>
      </c>
      <c r="H100" s="106">
        <f>0</f>
        <v>0</v>
      </c>
      <c r="I100" s="117">
        <f t="shared" si="3"/>
        <v>0</v>
      </c>
    </row>
    <row r="101" spans="1:9">
      <c r="A101" s="108" t="s">
        <v>58</v>
      </c>
      <c r="B101" s="109"/>
      <c r="C101" s="109"/>
      <c r="D101" s="110">
        <f>SUM(D87:D100)</f>
        <v>29009522</v>
      </c>
      <c r="E101" s="110">
        <f>SUM(E87:E100)</f>
        <v>15096799</v>
      </c>
      <c r="F101" s="110">
        <f>SUM(D101:E101)</f>
        <v>44106321</v>
      </c>
      <c r="G101" s="110">
        <f>SUM(G87:G100)</f>
        <v>29412842</v>
      </c>
      <c r="H101" s="110">
        <f>SUM(H87:H100)</f>
        <v>13111199</v>
      </c>
      <c r="I101" s="110">
        <f>SUM(G101:H101)</f>
        <v>42524041</v>
      </c>
    </row>
    <row r="102" spans="1:9">
      <c r="A102" s="108" t="s">
        <v>90</v>
      </c>
      <c r="B102" s="109"/>
      <c r="C102" s="109"/>
      <c r="D102" s="109"/>
      <c r="E102" s="109"/>
      <c r="F102" s="109"/>
      <c r="G102" s="109"/>
      <c r="H102" s="109"/>
      <c r="I102" s="113"/>
    </row>
    <row r="103" spans="1:9">
      <c r="A103" s="119">
        <v>26</v>
      </c>
      <c r="B103" s="119">
        <v>1</v>
      </c>
      <c r="C103" s="116" t="s">
        <v>91</v>
      </c>
      <c r="D103" s="106">
        <v>350000</v>
      </c>
      <c r="E103" s="106">
        <v>305000</v>
      </c>
      <c r="F103" s="117">
        <f>SUM(D103:E103)</f>
        <v>655000</v>
      </c>
      <c r="G103" s="106">
        <v>350000</v>
      </c>
      <c r="H103" s="106">
        <v>305000</v>
      </c>
      <c r="I103" s="117">
        <f>SUM(G103:H103)</f>
        <v>655000</v>
      </c>
    </row>
    <row r="104" spans="1:9">
      <c r="A104" s="119">
        <v>27</v>
      </c>
      <c r="B104" s="119">
        <v>2</v>
      </c>
      <c r="C104" s="121" t="s">
        <v>92</v>
      </c>
      <c r="D104" s="106">
        <f>0</f>
        <v>0</v>
      </c>
      <c r="E104" s="106">
        <f>0</f>
        <v>0</v>
      </c>
      <c r="F104" s="117">
        <f t="shared" ref="F104:F111" si="4">SUM(D104:E104)</f>
        <v>0</v>
      </c>
      <c r="G104" s="106">
        <f>0</f>
        <v>0</v>
      </c>
      <c r="H104" s="106">
        <f>0</f>
        <v>0</v>
      </c>
      <c r="I104" s="117">
        <f t="shared" ref="I104:I111" si="5">SUM(G104:H104)</f>
        <v>0</v>
      </c>
    </row>
    <row r="105" spans="1:9">
      <c r="A105" s="119">
        <v>28</v>
      </c>
      <c r="B105" s="119">
        <v>3</v>
      </c>
      <c r="C105" s="121" t="s">
        <v>93</v>
      </c>
      <c r="D105" s="106">
        <f>384000+384000</f>
        <v>768000</v>
      </c>
      <c r="E105" s="106">
        <f>60000+60000</f>
        <v>120000</v>
      </c>
      <c r="F105" s="117">
        <f t="shared" si="4"/>
        <v>888000</v>
      </c>
      <c r="G105" s="106">
        <f>0</f>
        <v>0</v>
      </c>
      <c r="H105" s="106">
        <f>0</f>
        <v>0</v>
      </c>
      <c r="I105" s="117">
        <f t="shared" si="5"/>
        <v>0</v>
      </c>
    </row>
    <row r="106" spans="1:9">
      <c r="A106" s="119">
        <v>29</v>
      </c>
      <c r="B106" s="119">
        <v>4</v>
      </c>
      <c r="C106" s="121" t="s">
        <v>94</v>
      </c>
      <c r="D106" s="106">
        <v>250000</v>
      </c>
      <c r="E106" s="106">
        <v>190000</v>
      </c>
      <c r="F106" s="117">
        <f t="shared" si="4"/>
        <v>440000</v>
      </c>
      <c r="G106" s="106">
        <v>256000</v>
      </c>
      <c r="H106" s="106">
        <v>185000</v>
      </c>
      <c r="I106" s="117">
        <f t="shared" si="5"/>
        <v>441000</v>
      </c>
    </row>
    <row r="107" spans="1:9">
      <c r="A107" s="119">
        <v>30</v>
      </c>
      <c r="B107" s="119">
        <v>5</v>
      </c>
      <c r="C107" s="121" t="s">
        <v>95</v>
      </c>
      <c r="D107" s="106">
        <v>148000</v>
      </c>
      <c r="E107" s="106">
        <v>260000</v>
      </c>
      <c r="F107" s="117">
        <f t="shared" si="4"/>
        <v>408000</v>
      </c>
      <c r="G107" s="106">
        <f>148000+264000</f>
        <v>412000</v>
      </c>
      <c r="H107" s="106">
        <v>260000</v>
      </c>
      <c r="I107" s="117">
        <f t="shared" si="5"/>
        <v>672000</v>
      </c>
    </row>
    <row r="108" spans="1:9">
      <c r="A108" s="119">
        <v>31</v>
      </c>
      <c r="B108" s="119">
        <v>6</v>
      </c>
      <c r="C108" s="121" t="s">
        <v>96</v>
      </c>
      <c r="D108" s="106">
        <v>437500</v>
      </c>
      <c r="E108" s="106">
        <v>42000</v>
      </c>
      <c r="F108" s="117">
        <f t="shared" si="4"/>
        <v>479500</v>
      </c>
      <c r="G108" s="106">
        <v>437500</v>
      </c>
      <c r="H108" s="106">
        <v>42000</v>
      </c>
      <c r="I108" s="117">
        <f t="shared" si="5"/>
        <v>479500</v>
      </c>
    </row>
    <row r="109" spans="1:9">
      <c r="A109" s="119">
        <v>32</v>
      </c>
      <c r="B109" s="119">
        <v>7</v>
      </c>
      <c r="C109" s="121" t="s">
        <v>97</v>
      </c>
      <c r="D109" s="106">
        <v>687800</v>
      </c>
      <c r="E109" s="106">
        <v>321500</v>
      </c>
      <c r="F109" s="117">
        <f t="shared" si="4"/>
        <v>1009300</v>
      </c>
      <c r="G109" s="106">
        <v>687800</v>
      </c>
      <c r="H109" s="106">
        <v>321500</v>
      </c>
      <c r="I109" s="117">
        <f t="shared" si="5"/>
        <v>1009300</v>
      </c>
    </row>
    <row r="110" spans="1:9">
      <c r="A110" s="119">
        <v>33</v>
      </c>
      <c r="B110" s="119">
        <v>8</v>
      </c>
      <c r="C110" s="121" t="s">
        <v>98</v>
      </c>
      <c r="D110" s="106">
        <v>460400</v>
      </c>
      <c r="E110" s="106">
        <v>90000</v>
      </c>
      <c r="F110" s="117">
        <f t="shared" si="4"/>
        <v>550400</v>
      </c>
      <c r="G110" s="106">
        <v>460400</v>
      </c>
      <c r="H110" s="106">
        <v>90000</v>
      </c>
      <c r="I110" s="117">
        <f t="shared" si="5"/>
        <v>550400</v>
      </c>
    </row>
    <row r="111" spans="1:9">
      <c r="A111" s="119">
        <v>34</v>
      </c>
      <c r="B111" s="119">
        <v>9</v>
      </c>
      <c r="C111" s="122" t="s">
        <v>99</v>
      </c>
      <c r="D111" s="106">
        <v>520800</v>
      </c>
      <c r="E111" s="106">
        <v>283000</v>
      </c>
      <c r="F111" s="117">
        <f t="shared" si="4"/>
        <v>803800</v>
      </c>
      <c r="G111" s="106">
        <v>520400</v>
      </c>
      <c r="H111" s="106">
        <v>263000</v>
      </c>
      <c r="I111" s="117">
        <f t="shared" si="5"/>
        <v>783400</v>
      </c>
    </row>
    <row r="112" spans="1:9">
      <c r="A112" s="108" t="s">
        <v>101</v>
      </c>
      <c r="B112" s="109"/>
      <c r="C112" s="123"/>
      <c r="D112" s="110">
        <f>SUM(D103:D111)</f>
        <v>3622500</v>
      </c>
      <c r="E112" s="110">
        <f>SUM(E103:E111)</f>
        <v>1611500</v>
      </c>
      <c r="F112" s="110">
        <f>SUM(D112:E112)</f>
        <v>5234000</v>
      </c>
      <c r="G112" s="110">
        <f>SUM(G103:G111)</f>
        <v>3124100</v>
      </c>
      <c r="H112" s="110">
        <f>SUM(H103:H111)</f>
        <v>1466500</v>
      </c>
      <c r="I112" s="110">
        <f>SUM(G112:H112)</f>
        <v>4590600</v>
      </c>
    </row>
    <row r="113" spans="1:9">
      <c r="A113" s="108" t="s">
        <v>102</v>
      </c>
      <c r="B113" s="109"/>
      <c r="C113" s="109"/>
      <c r="D113" s="109"/>
      <c r="E113" s="109"/>
      <c r="F113" s="109"/>
      <c r="G113" s="109"/>
      <c r="H113" s="109"/>
      <c r="I113" s="113"/>
    </row>
    <row r="114" spans="1:9">
      <c r="A114" s="119">
        <v>35</v>
      </c>
      <c r="B114" s="119">
        <v>1</v>
      </c>
      <c r="C114" s="116" t="s">
        <v>103</v>
      </c>
      <c r="D114" s="106">
        <v>100000</v>
      </c>
      <c r="E114" s="106">
        <v>60000</v>
      </c>
      <c r="F114" s="117">
        <f>SUM(D114:E114)</f>
        <v>160000</v>
      </c>
      <c r="G114" s="106">
        <v>100000</v>
      </c>
      <c r="H114" s="106">
        <v>60000</v>
      </c>
      <c r="I114" s="117">
        <f>SUM(G114:H114)</f>
        <v>160000</v>
      </c>
    </row>
    <row r="115" spans="1:9">
      <c r="A115" s="119">
        <v>36</v>
      </c>
      <c r="B115" s="119">
        <v>2</v>
      </c>
      <c r="C115" s="116" t="s">
        <v>104</v>
      </c>
      <c r="D115" s="106">
        <f>0</f>
        <v>0</v>
      </c>
      <c r="E115" s="106">
        <f>0</f>
        <v>0</v>
      </c>
      <c r="F115" s="117">
        <f>SUM(D115:E115)</f>
        <v>0</v>
      </c>
      <c r="G115" s="106">
        <f>0</f>
        <v>0</v>
      </c>
      <c r="H115" s="106">
        <f>0</f>
        <v>0</v>
      </c>
      <c r="I115" s="117">
        <f>SUM(G115:H115)</f>
        <v>0</v>
      </c>
    </row>
    <row r="116" spans="1:9">
      <c r="A116" s="119">
        <v>37</v>
      </c>
      <c r="B116" s="119">
        <v>3</v>
      </c>
      <c r="C116" s="116" t="s">
        <v>105</v>
      </c>
      <c r="D116" s="106">
        <v>1378700</v>
      </c>
      <c r="E116" s="106">
        <f>0</f>
        <v>0</v>
      </c>
      <c r="F116" s="117">
        <f>SUM(D116:E116)</f>
        <v>1378700</v>
      </c>
      <c r="G116" s="106">
        <v>1378000</v>
      </c>
      <c r="H116" s="106">
        <f>0</f>
        <v>0</v>
      </c>
      <c r="I116" s="117">
        <f>SUM(G116:H116)</f>
        <v>1378000</v>
      </c>
    </row>
    <row r="117" spans="1:9">
      <c r="A117" s="119">
        <v>38</v>
      </c>
      <c r="B117" s="119">
        <v>5</v>
      </c>
      <c r="C117" s="116" t="s">
        <v>106</v>
      </c>
      <c r="D117" s="106">
        <v>382700</v>
      </c>
      <c r="E117" s="106">
        <v>100000</v>
      </c>
      <c r="F117" s="117">
        <f>SUM(D117:E117)</f>
        <v>482700</v>
      </c>
      <c r="G117" s="106">
        <v>382700</v>
      </c>
      <c r="H117" s="106">
        <v>100000</v>
      </c>
      <c r="I117" s="117">
        <f>SUM(G117:H117)</f>
        <v>482700</v>
      </c>
    </row>
    <row r="118" spans="1:9">
      <c r="A118" s="108" t="s">
        <v>58</v>
      </c>
      <c r="B118" s="109"/>
      <c r="C118" s="109"/>
      <c r="D118" s="110">
        <f>SUM(D114:D117)</f>
        <v>1861400</v>
      </c>
      <c r="E118" s="110">
        <f>SUM(E114:E117)</f>
        <v>160000</v>
      </c>
      <c r="F118" s="110">
        <f>SUM(D118:E118)</f>
        <v>2021400</v>
      </c>
      <c r="G118" s="110">
        <f>SUM(G114:G117)</f>
        <v>1860700</v>
      </c>
      <c r="H118" s="110">
        <f>SUM(H114:H117)</f>
        <v>160000</v>
      </c>
      <c r="I118" s="110">
        <f>SUM(G118:H118)</f>
        <v>2020700</v>
      </c>
    </row>
    <row r="119" spans="1:9">
      <c r="A119" s="108" t="s">
        <v>107</v>
      </c>
      <c r="B119" s="109"/>
      <c r="C119" s="109"/>
      <c r="D119" s="109"/>
      <c r="E119" s="109"/>
      <c r="F119" s="109"/>
      <c r="G119" s="109"/>
      <c r="H119" s="109"/>
      <c r="I119" s="113"/>
    </row>
    <row r="120" spans="1:9">
      <c r="A120" s="119">
        <v>39</v>
      </c>
      <c r="B120" s="119">
        <v>1</v>
      </c>
      <c r="C120" s="119" t="s">
        <v>108</v>
      </c>
      <c r="D120" s="106">
        <v>500000</v>
      </c>
      <c r="E120" s="106">
        <v>100000</v>
      </c>
      <c r="F120" s="117">
        <f>SUM(D120:E120)</f>
        <v>600000</v>
      </c>
      <c r="G120" s="106">
        <v>500000</v>
      </c>
      <c r="H120" s="106">
        <v>100000</v>
      </c>
      <c r="I120" s="117">
        <f>SUM(G120:H120)</f>
        <v>600000</v>
      </c>
    </row>
    <row r="121" spans="1:9">
      <c r="A121" s="108" t="s">
        <v>101</v>
      </c>
      <c r="B121" s="109"/>
      <c r="C121" s="109"/>
      <c r="D121" s="110">
        <f>D120</f>
        <v>500000</v>
      </c>
      <c r="E121" s="110">
        <f>E120</f>
        <v>100000</v>
      </c>
      <c r="F121" s="110">
        <f>SUM(D121:E121)</f>
        <v>600000</v>
      </c>
      <c r="G121" s="110">
        <f>G120</f>
        <v>500000</v>
      </c>
      <c r="H121" s="110">
        <f>H120</f>
        <v>100000</v>
      </c>
      <c r="I121" s="110">
        <f>SUM(G121:H121)</f>
        <v>600000</v>
      </c>
    </row>
    <row r="122" spans="1:9">
      <c r="A122" s="108" t="s">
        <v>109</v>
      </c>
      <c r="B122" s="109"/>
      <c r="C122" s="109"/>
      <c r="D122" s="109"/>
      <c r="E122" s="109"/>
      <c r="F122" s="109"/>
      <c r="G122" s="109"/>
      <c r="H122" s="109"/>
      <c r="I122" s="113"/>
    </row>
    <row r="123" spans="1:9">
      <c r="A123" s="119">
        <v>40</v>
      </c>
      <c r="B123" s="119">
        <v>1</v>
      </c>
      <c r="C123" s="121" t="s">
        <v>110</v>
      </c>
      <c r="D123" s="106">
        <v>1722296</v>
      </c>
      <c r="E123" s="106">
        <v>510650</v>
      </c>
      <c r="F123" s="117">
        <f>SUM(D123:E123)</f>
        <v>2232946</v>
      </c>
      <c r="G123" s="106">
        <v>1724427</v>
      </c>
      <c r="H123" s="106">
        <v>510650</v>
      </c>
      <c r="I123" s="117">
        <f>SUM(G123:H123)</f>
        <v>2235077</v>
      </c>
    </row>
    <row r="124" spans="1:9">
      <c r="A124" s="108" t="s">
        <v>101</v>
      </c>
      <c r="B124" s="109"/>
      <c r="C124" s="109"/>
      <c r="D124" s="110">
        <f>D123</f>
        <v>1722296</v>
      </c>
      <c r="E124" s="110">
        <f>E123</f>
        <v>510650</v>
      </c>
      <c r="F124" s="110">
        <f>SUM(D124:E124)</f>
        <v>2232946</v>
      </c>
      <c r="G124" s="110">
        <f>G123</f>
        <v>1724427</v>
      </c>
      <c r="H124" s="110">
        <f>H123</f>
        <v>510650</v>
      </c>
      <c r="I124" s="110">
        <f>SUM(G124:H124)</f>
        <v>2235077</v>
      </c>
    </row>
    <row r="125" spans="1:9">
      <c r="A125" s="108" t="s">
        <v>111</v>
      </c>
      <c r="B125" s="109"/>
      <c r="C125" s="109"/>
      <c r="D125" s="109"/>
      <c r="E125" s="109"/>
      <c r="F125" s="109"/>
      <c r="G125" s="109"/>
      <c r="H125" s="109"/>
      <c r="I125" s="113"/>
    </row>
    <row r="126" spans="1:9">
      <c r="A126" s="119">
        <v>41</v>
      </c>
      <c r="B126" s="119">
        <v>1</v>
      </c>
      <c r="C126" s="121" t="s">
        <v>112</v>
      </c>
      <c r="D126" s="106">
        <v>1654500</v>
      </c>
      <c r="E126" s="106">
        <v>649500</v>
      </c>
      <c r="F126" s="117">
        <f>SUM(D126:E126)</f>
        <v>2304000</v>
      </c>
      <c r="G126" s="106">
        <v>1644500</v>
      </c>
      <c r="H126" s="106">
        <v>649500</v>
      </c>
      <c r="I126" s="117">
        <f>SUM(G126:H126)</f>
        <v>2294000</v>
      </c>
    </row>
    <row r="127" spans="1:9">
      <c r="A127" s="119">
        <v>42</v>
      </c>
      <c r="B127" s="119">
        <v>2</v>
      </c>
      <c r="C127" s="121" t="s">
        <v>113</v>
      </c>
      <c r="D127" s="106">
        <f>0</f>
        <v>0</v>
      </c>
      <c r="E127" s="106">
        <v>330000</v>
      </c>
      <c r="F127" s="117">
        <f t="shared" ref="F127:F138" si="6">SUM(D127:E127)</f>
        <v>330000</v>
      </c>
      <c r="G127" s="106">
        <f>0</f>
        <v>0</v>
      </c>
      <c r="H127" s="106">
        <f>0</f>
        <v>0</v>
      </c>
      <c r="I127" s="117">
        <f t="shared" ref="I127:I145" si="7">SUM(G127:H127)</f>
        <v>0</v>
      </c>
    </row>
    <row r="128" spans="1:9">
      <c r="A128" s="119">
        <v>43</v>
      </c>
      <c r="B128" s="119">
        <v>3</v>
      </c>
      <c r="C128" s="125" t="s">
        <v>114</v>
      </c>
      <c r="D128" s="106">
        <v>1643000</v>
      </c>
      <c r="E128" s="106">
        <f>0</f>
        <v>0</v>
      </c>
      <c r="F128" s="117">
        <f t="shared" si="6"/>
        <v>1643000</v>
      </c>
      <c r="G128" s="106">
        <v>1643000</v>
      </c>
      <c r="H128" s="106">
        <f>0</f>
        <v>0</v>
      </c>
      <c r="I128" s="117">
        <f t="shared" si="7"/>
        <v>1643000</v>
      </c>
    </row>
    <row r="129" spans="1:9">
      <c r="A129" s="119">
        <v>44</v>
      </c>
      <c r="B129" s="124">
        <v>4</v>
      </c>
      <c r="C129" s="125" t="s">
        <v>115</v>
      </c>
      <c r="D129" s="106">
        <f>0</f>
        <v>0</v>
      </c>
      <c r="E129" s="106">
        <v>224000</v>
      </c>
      <c r="F129" s="117">
        <f t="shared" si="6"/>
        <v>224000</v>
      </c>
      <c r="G129" s="106">
        <f>0</f>
        <v>0</v>
      </c>
      <c r="H129" s="106">
        <v>224000</v>
      </c>
      <c r="I129" s="117">
        <f t="shared" si="7"/>
        <v>224000</v>
      </c>
    </row>
    <row r="130" spans="1:9">
      <c r="A130" s="119">
        <v>45</v>
      </c>
      <c r="B130" s="119">
        <v>5</v>
      </c>
      <c r="C130" s="125" t="s">
        <v>116</v>
      </c>
      <c r="D130" s="106">
        <v>505700</v>
      </c>
      <c r="E130" s="106">
        <v>161000</v>
      </c>
      <c r="F130" s="117">
        <f t="shared" si="6"/>
        <v>666700</v>
      </c>
      <c r="G130" s="106">
        <v>505700</v>
      </c>
      <c r="H130" s="106">
        <v>146000</v>
      </c>
      <c r="I130" s="117">
        <f t="shared" si="7"/>
        <v>651700</v>
      </c>
    </row>
    <row r="131" spans="1:9">
      <c r="A131" s="119">
        <v>46</v>
      </c>
      <c r="B131" s="119">
        <v>6</v>
      </c>
      <c r="C131" s="125" t="s">
        <v>117</v>
      </c>
      <c r="D131" s="106">
        <f>801817+801817</f>
        <v>1603634</v>
      </c>
      <c r="E131" s="106">
        <f>135000+135000</f>
        <v>270000</v>
      </c>
      <c r="F131" s="117">
        <f t="shared" si="6"/>
        <v>1873634</v>
      </c>
      <c r="G131" s="106">
        <v>801817</v>
      </c>
      <c r="H131" s="106">
        <v>135000</v>
      </c>
      <c r="I131" s="117">
        <f t="shared" si="7"/>
        <v>936817</v>
      </c>
    </row>
    <row r="132" spans="1:9">
      <c r="A132" s="119">
        <v>47</v>
      </c>
      <c r="B132" s="119">
        <v>7</v>
      </c>
      <c r="C132" s="125" t="s">
        <v>118</v>
      </c>
      <c r="D132" s="106">
        <v>724000</v>
      </c>
      <c r="E132" s="106">
        <v>150000</v>
      </c>
      <c r="F132" s="117">
        <f t="shared" si="6"/>
        <v>874000</v>
      </c>
      <c r="G132" s="106">
        <v>724000</v>
      </c>
      <c r="H132" s="106">
        <v>150000</v>
      </c>
      <c r="I132" s="117">
        <f t="shared" si="7"/>
        <v>874000</v>
      </c>
    </row>
    <row r="133" spans="1:9">
      <c r="A133" s="119">
        <v>48</v>
      </c>
      <c r="B133" s="119">
        <v>8</v>
      </c>
      <c r="C133" s="121" t="s">
        <v>119</v>
      </c>
      <c r="D133" s="106">
        <v>615000</v>
      </c>
      <c r="E133" s="106">
        <v>100000</v>
      </c>
      <c r="F133" s="117">
        <f t="shared" si="6"/>
        <v>715000</v>
      </c>
      <c r="G133" s="106">
        <v>615000</v>
      </c>
      <c r="H133" s="106">
        <v>100000</v>
      </c>
      <c r="I133" s="117">
        <f t="shared" si="7"/>
        <v>715000</v>
      </c>
    </row>
    <row r="134" spans="1:9">
      <c r="A134" s="119">
        <v>49</v>
      </c>
      <c r="B134" s="119">
        <v>9</v>
      </c>
      <c r="C134" s="121" t="s">
        <v>120</v>
      </c>
      <c r="D134" s="106">
        <v>554000</v>
      </c>
      <c r="E134" s="106">
        <v>220000</v>
      </c>
      <c r="F134" s="117">
        <f t="shared" si="6"/>
        <v>774000</v>
      </c>
      <c r="G134" s="106">
        <v>337000</v>
      </c>
      <c r="H134" s="106">
        <v>505000</v>
      </c>
      <c r="I134" s="117">
        <f t="shared" si="7"/>
        <v>842000</v>
      </c>
    </row>
    <row r="135" spans="1:9">
      <c r="A135" s="119">
        <v>50</v>
      </c>
      <c r="B135" s="119">
        <v>10</v>
      </c>
      <c r="C135" s="121" t="s">
        <v>121</v>
      </c>
      <c r="D135" s="106">
        <f>0</f>
        <v>0</v>
      </c>
      <c r="E135" s="106">
        <v>578335</v>
      </c>
      <c r="F135" s="117">
        <f t="shared" si="6"/>
        <v>578335</v>
      </c>
      <c r="G135" s="106">
        <f>0</f>
        <v>0</v>
      </c>
      <c r="H135" s="106">
        <v>578335</v>
      </c>
      <c r="I135" s="117">
        <f t="shared" si="7"/>
        <v>578335</v>
      </c>
    </row>
    <row r="136" spans="1:9">
      <c r="A136" s="119">
        <v>51</v>
      </c>
      <c r="B136" s="119">
        <v>11</v>
      </c>
      <c r="C136" s="121" t="s">
        <v>122</v>
      </c>
      <c r="D136" s="106">
        <v>1450000</v>
      </c>
      <c r="E136" s="106">
        <f>0</f>
        <v>0</v>
      </c>
      <c r="F136" s="117">
        <f t="shared" si="6"/>
        <v>1450000</v>
      </c>
      <c r="G136" s="106">
        <f>0</f>
        <v>0</v>
      </c>
      <c r="H136" s="106">
        <f>0</f>
        <v>0</v>
      </c>
      <c r="I136" s="117">
        <f t="shared" si="7"/>
        <v>0</v>
      </c>
    </row>
    <row r="137" spans="1:9">
      <c r="A137" s="119">
        <v>52</v>
      </c>
      <c r="B137" s="119">
        <v>12</v>
      </c>
      <c r="C137" s="121" t="s">
        <v>123</v>
      </c>
      <c r="D137" s="106">
        <v>1741000</v>
      </c>
      <c r="E137" s="106">
        <f>0</f>
        <v>0</v>
      </c>
      <c r="F137" s="117">
        <f t="shared" si="6"/>
        <v>1741000</v>
      </c>
      <c r="G137" s="106">
        <v>1660000</v>
      </c>
      <c r="H137" s="106">
        <v>819000</v>
      </c>
      <c r="I137" s="117">
        <f t="shared" si="7"/>
        <v>2479000</v>
      </c>
    </row>
    <row r="138" spans="1:9">
      <c r="A138" s="119">
        <v>53</v>
      </c>
      <c r="B138" s="119">
        <v>13</v>
      </c>
      <c r="C138" s="121" t="s">
        <v>124</v>
      </c>
      <c r="D138" s="106">
        <v>1662000</v>
      </c>
      <c r="E138" s="106">
        <f>0</f>
        <v>0</v>
      </c>
      <c r="F138" s="117">
        <f t="shared" si="6"/>
        <v>1662000</v>
      </c>
      <c r="G138" s="106">
        <v>4110000</v>
      </c>
      <c r="H138" s="106">
        <f>0</f>
        <v>0</v>
      </c>
      <c r="I138" s="117">
        <f t="shared" si="7"/>
        <v>4110000</v>
      </c>
    </row>
    <row r="139" spans="1:9">
      <c r="A139" s="119">
        <v>54</v>
      </c>
      <c r="B139" s="119">
        <v>14</v>
      </c>
      <c r="C139" s="121" t="s">
        <v>125</v>
      </c>
      <c r="D139" s="106">
        <v>229000</v>
      </c>
      <c r="E139" s="106">
        <v>150000</v>
      </c>
      <c r="F139" s="117">
        <f>SUM(D139:E139)</f>
        <v>379000</v>
      </c>
      <c r="G139" s="106">
        <v>229000</v>
      </c>
      <c r="H139" s="106">
        <v>145000</v>
      </c>
      <c r="I139" s="117">
        <f>SUM(G139:H139)</f>
        <v>374000</v>
      </c>
    </row>
    <row r="140" spans="1:9">
      <c r="A140" s="119">
        <v>55</v>
      </c>
      <c r="B140" s="119">
        <v>15</v>
      </c>
      <c r="C140" s="121" t="s">
        <v>126</v>
      </c>
      <c r="D140" s="106">
        <v>1250000</v>
      </c>
      <c r="E140" s="106">
        <v>250000</v>
      </c>
      <c r="F140" s="117">
        <f t="shared" ref="F140:F145" si="8">SUM(D140:E140)</f>
        <v>1500000</v>
      </c>
      <c r="G140" s="106">
        <f>0</f>
        <v>0</v>
      </c>
      <c r="H140" s="106">
        <f>0</f>
        <v>0</v>
      </c>
      <c r="I140" s="117">
        <f t="shared" si="7"/>
        <v>0</v>
      </c>
    </row>
    <row r="141" spans="1:9">
      <c r="A141" s="119">
        <v>56</v>
      </c>
      <c r="B141" s="119">
        <v>16</v>
      </c>
      <c r="C141" s="121" t="s">
        <v>127</v>
      </c>
      <c r="D141" s="106">
        <v>1116000</v>
      </c>
      <c r="E141" s="106">
        <f>0</f>
        <v>0</v>
      </c>
      <c r="F141" s="117">
        <f t="shared" si="8"/>
        <v>1116000</v>
      </c>
      <c r="G141" s="106">
        <v>1116000</v>
      </c>
      <c r="H141" s="106">
        <f>0</f>
        <v>0</v>
      </c>
      <c r="I141" s="117">
        <f t="shared" si="7"/>
        <v>1116000</v>
      </c>
    </row>
    <row r="142" spans="1:9">
      <c r="A142" s="119">
        <v>57</v>
      </c>
      <c r="B142" s="119">
        <v>17</v>
      </c>
      <c r="C142" s="121" t="s">
        <v>128</v>
      </c>
      <c r="D142" s="106">
        <v>1356000</v>
      </c>
      <c r="E142" s="106">
        <f>0</f>
        <v>0</v>
      </c>
      <c r="F142" s="117">
        <f t="shared" si="8"/>
        <v>1356000</v>
      </c>
      <c r="G142" s="106">
        <f>0</f>
        <v>0</v>
      </c>
      <c r="H142" s="106">
        <f>0</f>
        <v>0</v>
      </c>
      <c r="I142" s="117">
        <f t="shared" si="7"/>
        <v>0</v>
      </c>
    </row>
    <row r="143" spans="1:9">
      <c r="A143" s="119">
        <v>58</v>
      </c>
      <c r="B143" s="119">
        <v>18</v>
      </c>
      <c r="C143" s="121" t="s">
        <v>129</v>
      </c>
      <c r="D143" s="106">
        <v>1247000</v>
      </c>
      <c r="E143" s="106">
        <v>120000</v>
      </c>
      <c r="F143" s="117">
        <f t="shared" si="8"/>
        <v>1367000</v>
      </c>
      <c r="G143" s="106">
        <v>1149033</v>
      </c>
      <c r="H143" s="106">
        <v>120000</v>
      </c>
      <c r="I143" s="117">
        <f t="shared" si="7"/>
        <v>1269033</v>
      </c>
    </row>
    <row r="144" spans="1:9">
      <c r="A144" s="119">
        <v>59</v>
      </c>
      <c r="B144" s="119">
        <v>19</v>
      </c>
      <c r="C144" s="121" t="s">
        <v>130</v>
      </c>
      <c r="D144" s="106">
        <v>260618</v>
      </c>
      <c r="E144" s="106">
        <v>260000</v>
      </c>
      <c r="F144" s="117">
        <f t="shared" si="8"/>
        <v>520618</v>
      </c>
      <c r="G144" s="106">
        <v>260618</v>
      </c>
      <c r="H144" s="106">
        <v>260000</v>
      </c>
      <c r="I144" s="117">
        <f t="shared" si="7"/>
        <v>520618</v>
      </c>
    </row>
    <row r="145" spans="1:9">
      <c r="A145" s="119">
        <v>60</v>
      </c>
      <c r="B145" s="119">
        <v>20</v>
      </c>
      <c r="C145" s="121" t="s">
        <v>131</v>
      </c>
      <c r="D145" s="106">
        <v>739873</v>
      </c>
      <c r="E145" s="106">
        <v>190000</v>
      </c>
      <c r="F145" s="117">
        <f t="shared" si="8"/>
        <v>929873</v>
      </c>
      <c r="G145" s="106">
        <f>0</f>
        <v>0</v>
      </c>
      <c r="H145" s="106">
        <f>0</f>
        <v>0</v>
      </c>
      <c r="I145" s="117">
        <f t="shared" si="7"/>
        <v>0</v>
      </c>
    </row>
    <row r="146" spans="1:9">
      <c r="A146" s="108" t="s">
        <v>58</v>
      </c>
      <c r="B146" s="109"/>
      <c r="C146" s="109"/>
      <c r="D146" s="110">
        <f>SUM(D126:D145)</f>
        <v>18351325</v>
      </c>
      <c r="E146" s="110">
        <f>SUM(E126:E145)</f>
        <v>3652835</v>
      </c>
      <c r="F146" s="110">
        <f>SUM(D146:E146)</f>
        <v>22004160</v>
      </c>
      <c r="G146" s="110">
        <f>SUM(G126:G145)</f>
        <v>14795668</v>
      </c>
      <c r="H146" s="110">
        <f>SUM(H126:H145)</f>
        <v>3831835</v>
      </c>
      <c r="I146" s="110">
        <f>SUM(G146:H146)</f>
        <v>18627503</v>
      </c>
    </row>
    <row r="147" spans="1:9">
      <c r="A147" s="126" t="s">
        <v>132</v>
      </c>
      <c r="B147" s="127"/>
      <c r="C147" s="127"/>
      <c r="D147" s="127"/>
      <c r="E147" s="127"/>
      <c r="F147" s="127"/>
      <c r="G147" s="127"/>
      <c r="H147" s="127"/>
      <c r="I147" s="128"/>
    </row>
    <row r="148" spans="1:9">
      <c r="A148" s="119">
        <v>61</v>
      </c>
      <c r="B148" s="119">
        <v>1</v>
      </c>
      <c r="C148" s="125" t="s">
        <v>133</v>
      </c>
      <c r="D148" s="106">
        <v>1514395</v>
      </c>
      <c r="E148" s="106">
        <v>920800</v>
      </c>
      <c r="F148" s="117">
        <f>SUM(D148:E148)</f>
        <v>2435195</v>
      </c>
      <c r="G148" s="106">
        <v>1514395</v>
      </c>
      <c r="H148" s="106">
        <v>920000</v>
      </c>
      <c r="I148" s="117">
        <f>SUM(G148:H148)</f>
        <v>2434395</v>
      </c>
    </row>
    <row r="149" spans="1:9">
      <c r="A149" s="119">
        <v>62</v>
      </c>
      <c r="B149" s="119">
        <v>2</v>
      </c>
      <c r="C149" s="125" t="s">
        <v>134</v>
      </c>
      <c r="D149" s="106">
        <v>261500</v>
      </c>
      <c r="E149" s="106">
        <v>289000</v>
      </c>
      <c r="F149" s="117">
        <f t="shared" ref="F149:F167" si="9">SUM(D149:E149)</f>
        <v>550500</v>
      </c>
      <c r="G149" s="106">
        <f>409000+436000</f>
        <v>845000</v>
      </c>
      <c r="H149" s="106">
        <f>500000+161500</f>
        <v>661500</v>
      </c>
      <c r="I149" s="117">
        <f t="shared" ref="I149:I167" si="10">SUM(G149:H149)</f>
        <v>1506500</v>
      </c>
    </row>
    <row r="150" spans="1:9">
      <c r="A150" s="119">
        <v>63</v>
      </c>
      <c r="B150" s="119">
        <v>3</v>
      </c>
      <c r="C150" s="125" t="s">
        <v>135</v>
      </c>
      <c r="D150" s="106">
        <v>1425700</v>
      </c>
      <c r="E150" s="106">
        <v>1247500</v>
      </c>
      <c r="F150" s="117">
        <f t="shared" si="9"/>
        <v>2673200</v>
      </c>
      <c r="G150" s="106">
        <v>1425700</v>
      </c>
      <c r="H150" s="106">
        <v>1247500</v>
      </c>
      <c r="I150" s="117">
        <f t="shared" si="10"/>
        <v>2673200</v>
      </c>
    </row>
    <row r="151" spans="1:9">
      <c r="A151" s="119">
        <v>64</v>
      </c>
      <c r="B151" s="119">
        <v>4</v>
      </c>
      <c r="C151" s="125" t="s">
        <v>136</v>
      </c>
      <c r="D151" s="106">
        <v>300000</v>
      </c>
      <c r="E151" s="106">
        <f>0</f>
        <v>0</v>
      </c>
      <c r="F151" s="117">
        <f t="shared" si="9"/>
        <v>300000</v>
      </c>
      <c r="G151" s="106">
        <f>0</f>
        <v>0</v>
      </c>
      <c r="H151" s="106">
        <v>300000</v>
      </c>
      <c r="I151" s="117">
        <f t="shared" si="10"/>
        <v>300000</v>
      </c>
    </row>
    <row r="152" spans="1:9">
      <c r="A152" s="119">
        <v>65</v>
      </c>
      <c r="B152" s="119">
        <v>5</v>
      </c>
      <c r="C152" s="129" t="s">
        <v>137</v>
      </c>
      <c r="D152" s="106">
        <f>0</f>
        <v>0</v>
      </c>
      <c r="E152" s="106">
        <f>0</f>
        <v>0</v>
      </c>
      <c r="F152" s="117">
        <f t="shared" si="9"/>
        <v>0</v>
      </c>
      <c r="G152" s="106">
        <f>0</f>
        <v>0</v>
      </c>
      <c r="H152" s="106">
        <f>0</f>
        <v>0</v>
      </c>
      <c r="I152" s="117">
        <f t="shared" si="10"/>
        <v>0</v>
      </c>
    </row>
    <row r="153" spans="1:9">
      <c r="A153" s="119">
        <v>66</v>
      </c>
      <c r="B153" s="119">
        <v>6</v>
      </c>
      <c r="C153" s="125" t="s">
        <v>138</v>
      </c>
      <c r="D153" s="106">
        <v>794000</v>
      </c>
      <c r="E153" s="106">
        <v>1406000</v>
      </c>
      <c r="F153" s="117">
        <f t="shared" si="9"/>
        <v>2200000</v>
      </c>
      <c r="G153" s="106">
        <v>794000</v>
      </c>
      <c r="H153" s="106">
        <v>1401000</v>
      </c>
      <c r="I153" s="117">
        <f t="shared" si="10"/>
        <v>2195000</v>
      </c>
    </row>
    <row r="154" spans="1:9">
      <c r="A154" s="119">
        <v>67</v>
      </c>
      <c r="B154" s="119">
        <v>7</v>
      </c>
      <c r="C154" s="125" t="s">
        <v>139</v>
      </c>
      <c r="D154" s="106">
        <v>412000</v>
      </c>
      <c r="E154" s="106">
        <v>501000</v>
      </c>
      <c r="F154" s="117">
        <f t="shared" si="9"/>
        <v>913000</v>
      </c>
      <c r="G154" s="106">
        <f>0</f>
        <v>0</v>
      </c>
      <c r="H154" s="106"/>
      <c r="I154" s="117">
        <f t="shared" si="10"/>
        <v>0</v>
      </c>
    </row>
    <row r="155" spans="1:9">
      <c r="A155" s="119">
        <v>68</v>
      </c>
      <c r="B155" s="119">
        <v>8</v>
      </c>
      <c r="C155" s="125" t="s">
        <v>140</v>
      </c>
      <c r="D155" s="106">
        <v>561675</v>
      </c>
      <c r="E155" s="106">
        <v>1085000</v>
      </c>
      <c r="F155" s="117">
        <f t="shared" si="9"/>
        <v>1646675</v>
      </c>
      <c r="G155" s="106">
        <v>561700</v>
      </c>
      <c r="H155" s="106">
        <v>1063000</v>
      </c>
      <c r="I155" s="117">
        <f t="shared" si="10"/>
        <v>1624700</v>
      </c>
    </row>
    <row r="156" spans="1:9">
      <c r="A156" s="119">
        <v>69</v>
      </c>
      <c r="B156" s="119">
        <v>9</v>
      </c>
      <c r="C156" s="125" t="s">
        <v>141</v>
      </c>
      <c r="D156" s="106">
        <v>340000</v>
      </c>
      <c r="E156" s="106">
        <v>510000</v>
      </c>
      <c r="F156" s="117">
        <f t="shared" si="9"/>
        <v>850000</v>
      </c>
      <c r="G156" s="106">
        <f>0</f>
        <v>0</v>
      </c>
      <c r="H156" s="106">
        <f>0</f>
        <v>0</v>
      </c>
      <c r="I156" s="117">
        <f t="shared" si="10"/>
        <v>0</v>
      </c>
    </row>
    <row r="157" spans="1:9">
      <c r="A157" s="119">
        <v>70</v>
      </c>
      <c r="B157" s="119">
        <v>10</v>
      </c>
      <c r="C157" s="125" t="s">
        <v>142</v>
      </c>
      <c r="D157" s="106">
        <v>357100</v>
      </c>
      <c r="E157" s="106">
        <v>102000</v>
      </c>
      <c r="F157" s="117">
        <f t="shared" si="9"/>
        <v>459100</v>
      </c>
      <c r="G157" s="106">
        <v>357100</v>
      </c>
      <c r="H157" s="106">
        <v>86000</v>
      </c>
      <c r="I157" s="117">
        <f t="shared" si="10"/>
        <v>443100</v>
      </c>
    </row>
    <row r="158" spans="1:9">
      <c r="A158" s="119">
        <v>71</v>
      </c>
      <c r="B158" s="119">
        <v>11</v>
      </c>
      <c r="C158" s="125" t="s">
        <v>143</v>
      </c>
      <c r="D158" s="106">
        <v>300000</v>
      </c>
      <c r="E158" s="106">
        <v>600000</v>
      </c>
      <c r="F158" s="117">
        <f t="shared" si="9"/>
        <v>900000</v>
      </c>
      <c r="G158" s="106">
        <v>277000</v>
      </c>
      <c r="H158" s="106">
        <v>627000</v>
      </c>
      <c r="I158" s="117">
        <f t="shared" si="10"/>
        <v>904000</v>
      </c>
    </row>
    <row r="159" spans="1:9">
      <c r="A159" s="119">
        <v>72</v>
      </c>
      <c r="B159" s="119">
        <v>12</v>
      </c>
      <c r="C159" s="125" t="s">
        <v>144</v>
      </c>
      <c r="D159" s="106">
        <v>185000</v>
      </c>
      <c r="E159" s="106">
        <v>824000</v>
      </c>
      <c r="F159" s="117">
        <f t="shared" si="9"/>
        <v>1009000</v>
      </c>
      <c r="G159" s="106">
        <v>185000</v>
      </c>
      <c r="H159" s="106">
        <f>0</f>
        <v>0</v>
      </c>
      <c r="I159" s="117">
        <f t="shared" si="10"/>
        <v>185000</v>
      </c>
    </row>
    <row r="160" spans="1:9">
      <c r="A160" s="119">
        <v>73</v>
      </c>
      <c r="B160" s="119">
        <v>13</v>
      </c>
      <c r="C160" s="125" t="s">
        <v>145</v>
      </c>
      <c r="D160" s="106">
        <f>0</f>
        <v>0</v>
      </c>
      <c r="E160" s="219">
        <v>500000</v>
      </c>
      <c r="F160" s="117">
        <f t="shared" si="9"/>
        <v>500000</v>
      </c>
      <c r="G160" s="219">
        <f>0</f>
        <v>0</v>
      </c>
      <c r="H160" s="219">
        <f>0</f>
        <v>0</v>
      </c>
      <c r="I160" s="117">
        <f t="shared" si="10"/>
        <v>0</v>
      </c>
    </row>
    <row r="161" spans="1:9">
      <c r="A161" s="119">
        <v>74</v>
      </c>
      <c r="B161" s="119">
        <v>14</v>
      </c>
      <c r="C161" s="129" t="s">
        <v>146</v>
      </c>
      <c r="D161" s="106">
        <f>0</f>
        <v>0</v>
      </c>
      <c r="E161" s="106">
        <f>0</f>
        <v>0</v>
      </c>
      <c r="F161" s="117">
        <f t="shared" si="9"/>
        <v>0</v>
      </c>
      <c r="G161" s="106"/>
      <c r="H161" s="106">
        <f>1090000+1090000</f>
        <v>2180000</v>
      </c>
      <c r="I161" s="117">
        <f t="shared" si="10"/>
        <v>2180000</v>
      </c>
    </row>
    <row r="162" spans="1:9">
      <c r="A162" s="119">
        <v>75</v>
      </c>
      <c r="B162" s="119">
        <v>15</v>
      </c>
      <c r="C162" s="125" t="s">
        <v>147</v>
      </c>
      <c r="D162" s="106">
        <f>0</f>
        <v>0</v>
      </c>
      <c r="E162" s="106">
        <v>1046000</v>
      </c>
      <c r="F162" s="117">
        <f t="shared" si="9"/>
        <v>1046000</v>
      </c>
      <c r="G162" s="106"/>
      <c r="H162" s="106">
        <v>1046000</v>
      </c>
      <c r="I162" s="117">
        <f t="shared" si="10"/>
        <v>1046000</v>
      </c>
    </row>
    <row r="163" spans="1:9">
      <c r="A163" s="119">
        <v>76</v>
      </c>
      <c r="B163" s="119">
        <v>16</v>
      </c>
      <c r="C163" s="125" t="s">
        <v>148</v>
      </c>
      <c r="D163" s="106">
        <f>0</f>
        <v>0</v>
      </c>
      <c r="E163" s="106">
        <v>2289000</v>
      </c>
      <c r="F163" s="117">
        <f t="shared" si="9"/>
        <v>2289000</v>
      </c>
      <c r="G163" s="106"/>
      <c r="H163" s="106">
        <v>2289000</v>
      </c>
      <c r="I163" s="117">
        <f t="shared" si="10"/>
        <v>2289000</v>
      </c>
    </row>
    <row r="164" spans="1:9">
      <c r="A164" s="119">
        <v>77</v>
      </c>
      <c r="B164" s="119">
        <v>17</v>
      </c>
      <c r="C164" s="125" t="s">
        <v>149</v>
      </c>
      <c r="D164" s="106">
        <f>0</f>
        <v>0</v>
      </c>
      <c r="E164" s="106">
        <v>763000</v>
      </c>
      <c r="F164" s="117">
        <f t="shared" si="9"/>
        <v>763000</v>
      </c>
      <c r="G164" s="106"/>
      <c r="H164" s="106"/>
      <c r="I164" s="117">
        <f t="shared" si="10"/>
        <v>0</v>
      </c>
    </row>
    <row r="165" spans="1:9">
      <c r="A165" s="119">
        <v>78</v>
      </c>
      <c r="B165" s="119">
        <v>18</v>
      </c>
      <c r="C165" s="121" t="s">
        <v>150</v>
      </c>
      <c r="D165" s="106">
        <v>229042</v>
      </c>
      <c r="E165" s="106">
        <v>2751980</v>
      </c>
      <c r="F165" s="117">
        <f t="shared" si="9"/>
        <v>2981022</v>
      </c>
      <c r="G165" s="106"/>
      <c r="H165" s="106"/>
      <c r="I165" s="117">
        <f t="shared" si="10"/>
        <v>0</v>
      </c>
    </row>
    <row r="166" spans="1:9">
      <c r="A166" s="119">
        <v>79</v>
      </c>
      <c r="B166" s="119">
        <v>19</v>
      </c>
      <c r="C166" s="121" t="s">
        <v>151</v>
      </c>
      <c r="D166" s="106">
        <v>546000</v>
      </c>
      <c r="E166" s="106">
        <v>1441600</v>
      </c>
      <c r="F166" s="117">
        <f t="shared" si="9"/>
        <v>1987600</v>
      </c>
      <c r="G166" s="106">
        <v>842000</v>
      </c>
      <c r="H166" s="106">
        <v>150000</v>
      </c>
      <c r="I166" s="117">
        <f t="shared" si="10"/>
        <v>992000</v>
      </c>
    </row>
    <row r="167" spans="1:9">
      <c r="A167" s="119">
        <v>80</v>
      </c>
      <c r="B167" s="119">
        <v>20</v>
      </c>
      <c r="C167" s="121" t="s">
        <v>152</v>
      </c>
      <c r="D167" s="106">
        <v>309000</v>
      </c>
      <c r="E167" s="106">
        <v>703000</v>
      </c>
      <c r="F167" s="117">
        <f t="shared" si="9"/>
        <v>1012000</v>
      </c>
      <c r="G167" s="106">
        <v>309000</v>
      </c>
      <c r="H167" s="106">
        <v>703000</v>
      </c>
      <c r="I167" s="117">
        <f t="shared" si="10"/>
        <v>1012000</v>
      </c>
    </row>
    <row r="168" spans="1:9">
      <c r="A168" s="108" t="s">
        <v>58</v>
      </c>
      <c r="B168" s="109"/>
      <c r="C168" s="109"/>
      <c r="D168" s="110">
        <f>SUM(D148:D167)</f>
        <v>7535412</v>
      </c>
      <c r="E168" s="110">
        <f>SUM(E148:E167)</f>
        <v>16979880</v>
      </c>
      <c r="F168" s="110">
        <f>SUM(D168:E168)</f>
        <v>24515292</v>
      </c>
      <c r="G168" s="110">
        <f>SUM(G148:G167)</f>
        <v>7110895</v>
      </c>
      <c r="H168" s="110">
        <f>SUM(H148:H167)</f>
        <v>12674000</v>
      </c>
      <c r="I168" s="110">
        <f>SUM(G168:H168)</f>
        <v>19784895</v>
      </c>
    </row>
    <row r="169" spans="1:9">
      <c r="A169" s="108" t="s">
        <v>153</v>
      </c>
      <c r="B169" s="109"/>
      <c r="C169" s="109"/>
      <c r="D169" s="109"/>
      <c r="E169" s="109"/>
      <c r="F169" s="109"/>
      <c r="G169" s="109"/>
      <c r="H169" s="109"/>
      <c r="I169" s="113"/>
    </row>
    <row r="170" spans="1:9">
      <c r="A170" s="119">
        <v>81</v>
      </c>
      <c r="B170" s="119">
        <v>1</v>
      </c>
      <c r="C170" s="121" t="s">
        <v>154</v>
      </c>
      <c r="D170" s="106">
        <v>1392225</v>
      </c>
      <c r="E170" s="106">
        <v>107000</v>
      </c>
      <c r="F170" s="117">
        <f>SUM(D170:E170)</f>
        <v>1499225</v>
      </c>
      <c r="G170" s="106">
        <v>1392225</v>
      </c>
      <c r="H170" s="106">
        <v>105500</v>
      </c>
      <c r="I170" s="117">
        <f>SUM(G170:H170)</f>
        <v>1497725</v>
      </c>
    </row>
    <row r="171" spans="1:9">
      <c r="A171" s="119">
        <v>82</v>
      </c>
      <c r="B171" s="119">
        <v>2</v>
      </c>
      <c r="C171" s="121" t="s">
        <v>155</v>
      </c>
      <c r="D171" s="106">
        <f>0</f>
        <v>0</v>
      </c>
      <c r="E171" s="106">
        <v>30000</v>
      </c>
      <c r="F171" s="117">
        <f t="shared" ref="F171:F189" si="11">SUM(D171:E171)</f>
        <v>30000</v>
      </c>
      <c r="G171" s="106"/>
      <c r="H171" s="106">
        <v>30000</v>
      </c>
      <c r="I171" s="117">
        <f t="shared" ref="I171:I192" si="12">SUM(G171:H171)</f>
        <v>30000</v>
      </c>
    </row>
    <row r="172" spans="1:9">
      <c r="A172" s="119">
        <v>83</v>
      </c>
      <c r="B172" s="119">
        <v>3</v>
      </c>
      <c r="C172" s="121" t="s">
        <v>156</v>
      </c>
      <c r="D172" s="106">
        <f>0</f>
        <v>0</v>
      </c>
      <c r="E172" s="106">
        <f>45000+255000</f>
        <v>300000</v>
      </c>
      <c r="F172" s="117">
        <f t="shared" si="11"/>
        <v>300000</v>
      </c>
      <c r="G172" s="106"/>
      <c r="H172" s="106">
        <f>255000+45000</f>
        <v>300000</v>
      </c>
      <c r="I172" s="117">
        <f t="shared" si="12"/>
        <v>300000</v>
      </c>
    </row>
    <row r="173" spans="1:9">
      <c r="A173" s="119">
        <v>84</v>
      </c>
      <c r="B173" s="119">
        <v>4</v>
      </c>
      <c r="C173" s="121" t="s">
        <v>157</v>
      </c>
      <c r="D173" s="106">
        <f>0</f>
        <v>0</v>
      </c>
      <c r="E173" s="106">
        <f>0</f>
        <v>0</v>
      </c>
      <c r="F173" s="117">
        <f t="shared" si="11"/>
        <v>0</v>
      </c>
      <c r="G173" s="106">
        <v>777000</v>
      </c>
      <c r="H173" s="106">
        <v>240000</v>
      </c>
      <c r="I173" s="117">
        <f t="shared" si="12"/>
        <v>1017000</v>
      </c>
    </row>
    <row r="174" spans="1:9">
      <c r="A174" s="119">
        <v>85</v>
      </c>
      <c r="B174" s="119">
        <v>5</v>
      </c>
      <c r="C174" s="121" t="s">
        <v>158</v>
      </c>
      <c r="D174" s="106">
        <f>0</f>
        <v>0</v>
      </c>
      <c r="E174" s="106">
        <f>0</f>
        <v>0</v>
      </c>
      <c r="F174" s="117">
        <f t="shared" si="11"/>
        <v>0</v>
      </c>
      <c r="G174" s="106"/>
      <c r="H174" s="106"/>
      <c r="I174" s="117">
        <f t="shared" si="12"/>
        <v>0</v>
      </c>
    </row>
    <row r="175" spans="1:9">
      <c r="A175" s="119">
        <v>86</v>
      </c>
      <c r="B175" s="119">
        <v>6</v>
      </c>
      <c r="C175" s="125" t="s">
        <v>159</v>
      </c>
      <c r="D175" s="106">
        <v>20000000</v>
      </c>
      <c r="E175" s="106">
        <f>0</f>
        <v>0</v>
      </c>
      <c r="F175" s="117">
        <f t="shared" si="11"/>
        <v>20000000</v>
      </c>
      <c r="G175" s="106">
        <v>20000000</v>
      </c>
      <c r="H175" s="106"/>
      <c r="I175" s="117">
        <f t="shared" si="12"/>
        <v>20000000</v>
      </c>
    </row>
    <row r="176" spans="1:9">
      <c r="A176" s="119">
        <v>87</v>
      </c>
      <c r="B176" s="119">
        <v>7</v>
      </c>
      <c r="C176" s="121" t="s">
        <v>160</v>
      </c>
      <c r="D176" s="106">
        <f>0</f>
        <v>0</v>
      </c>
      <c r="E176" s="106">
        <f>0</f>
        <v>0</v>
      </c>
      <c r="F176" s="117">
        <f t="shared" si="11"/>
        <v>0</v>
      </c>
      <c r="G176" s="106"/>
      <c r="H176" s="106"/>
      <c r="I176" s="117">
        <f t="shared" si="12"/>
        <v>0</v>
      </c>
    </row>
    <row r="177" spans="1:9">
      <c r="A177" s="119">
        <v>88</v>
      </c>
      <c r="B177" s="119">
        <v>8</v>
      </c>
      <c r="C177" s="121" t="s">
        <v>161</v>
      </c>
      <c r="D177" s="106">
        <f>0</f>
        <v>0</v>
      </c>
      <c r="E177" s="106">
        <f>0</f>
        <v>0</v>
      </c>
      <c r="F177" s="117">
        <f t="shared" si="11"/>
        <v>0</v>
      </c>
      <c r="G177" s="106"/>
      <c r="H177" s="106"/>
      <c r="I177" s="117">
        <f t="shared" si="12"/>
        <v>0</v>
      </c>
    </row>
    <row r="178" spans="1:9">
      <c r="A178" s="119">
        <v>89</v>
      </c>
      <c r="B178" s="119">
        <v>9</v>
      </c>
      <c r="C178" s="121" t="s">
        <v>162</v>
      </c>
      <c r="D178" s="106">
        <f>0</f>
        <v>0</v>
      </c>
      <c r="E178" s="106">
        <f>0</f>
        <v>0</v>
      </c>
      <c r="F178" s="117">
        <f t="shared" si="11"/>
        <v>0</v>
      </c>
      <c r="G178" s="106"/>
      <c r="H178" s="106"/>
      <c r="I178" s="117">
        <f t="shared" si="12"/>
        <v>0</v>
      </c>
    </row>
    <row r="179" spans="1:9">
      <c r="A179" s="119">
        <v>90</v>
      </c>
      <c r="B179" s="119">
        <v>10</v>
      </c>
      <c r="C179" s="121" t="s">
        <v>163</v>
      </c>
      <c r="D179" s="106">
        <f>0</f>
        <v>0</v>
      </c>
      <c r="E179" s="106">
        <f>0</f>
        <v>0</v>
      </c>
      <c r="F179" s="117">
        <f t="shared" si="11"/>
        <v>0</v>
      </c>
      <c r="G179" s="106"/>
      <c r="H179" s="106"/>
      <c r="I179" s="117">
        <f t="shared" si="12"/>
        <v>0</v>
      </c>
    </row>
    <row r="180" spans="1:9">
      <c r="A180" s="119">
        <v>91</v>
      </c>
      <c r="B180" s="119">
        <v>11</v>
      </c>
      <c r="C180" s="121" t="s">
        <v>164</v>
      </c>
      <c r="D180" s="106">
        <v>9320843</v>
      </c>
      <c r="E180" s="106">
        <f>0</f>
        <v>0</v>
      </c>
      <c r="F180" s="117">
        <f t="shared" si="11"/>
        <v>9320843</v>
      </c>
      <c r="G180" s="106"/>
      <c r="H180" s="106"/>
      <c r="I180" s="117">
        <f t="shared" si="12"/>
        <v>0</v>
      </c>
    </row>
    <row r="181" spans="1:9">
      <c r="A181" s="119">
        <v>92</v>
      </c>
      <c r="B181" s="119">
        <v>12</v>
      </c>
      <c r="C181" s="121" t="s">
        <v>165</v>
      </c>
      <c r="D181" s="106">
        <f>0</f>
        <v>0</v>
      </c>
      <c r="E181" s="106">
        <f>0</f>
        <v>0</v>
      </c>
      <c r="F181" s="117">
        <f t="shared" si="11"/>
        <v>0</v>
      </c>
      <c r="G181" s="106"/>
      <c r="H181" s="106"/>
      <c r="I181" s="117">
        <f t="shared" si="12"/>
        <v>0</v>
      </c>
    </row>
    <row r="182" spans="1:9">
      <c r="A182" s="119">
        <v>93</v>
      </c>
      <c r="B182" s="119">
        <v>13</v>
      </c>
      <c r="C182" s="121" t="s">
        <v>166</v>
      </c>
      <c r="D182" s="106">
        <f>0</f>
        <v>0</v>
      </c>
      <c r="E182" s="106">
        <f>86000+86000</f>
        <v>172000</v>
      </c>
      <c r="F182" s="117">
        <f t="shared" si="11"/>
        <v>172000</v>
      </c>
      <c r="G182" s="106"/>
      <c r="H182" s="106"/>
      <c r="I182" s="117">
        <f t="shared" si="12"/>
        <v>0</v>
      </c>
    </row>
    <row r="183" spans="1:9">
      <c r="A183" s="119">
        <v>94</v>
      </c>
      <c r="B183" s="119">
        <v>14</v>
      </c>
      <c r="C183" s="121" t="s">
        <v>167</v>
      </c>
      <c r="D183" s="106">
        <f>0</f>
        <v>0</v>
      </c>
      <c r="E183" s="106">
        <v>71500</v>
      </c>
      <c r="F183" s="117">
        <f t="shared" si="11"/>
        <v>71500</v>
      </c>
      <c r="G183" s="106"/>
      <c r="H183" s="106">
        <v>72000</v>
      </c>
      <c r="I183" s="117">
        <f t="shared" si="12"/>
        <v>72000</v>
      </c>
    </row>
    <row r="184" spans="1:9">
      <c r="A184" s="119">
        <v>95</v>
      </c>
      <c r="B184" s="119">
        <v>15</v>
      </c>
      <c r="C184" s="121" t="s">
        <v>168</v>
      </c>
      <c r="D184" s="106">
        <v>460000</v>
      </c>
      <c r="E184" s="106">
        <v>403000</v>
      </c>
      <c r="F184" s="117">
        <f t="shared" si="11"/>
        <v>863000</v>
      </c>
      <c r="G184" s="106">
        <v>710000</v>
      </c>
      <c r="H184" s="106">
        <v>403000</v>
      </c>
      <c r="I184" s="117">
        <f t="shared" si="12"/>
        <v>1113000</v>
      </c>
    </row>
    <row r="185" spans="1:9">
      <c r="A185" s="119">
        <v>96</v>
      </c>
      <c r="B185" s="119">
        <v>16</v>
      </c>
      <c r="C185" s="121" t="s">
        <v>428</v>
      </c>
      <c r="D185" s="106">
        <v>997100</v>
      </c>
      <c r="E185" s="106">
        <f>404000+340000</f>
        <v>744000</v>
      </c>
      <c r="F185" s="117">
        <f t="shared" si="11"/>
        <v>1741100</v>
      </c>
      <c r="G185" s="106">
        <v>997100</v>
      </c>
      <c r="H185" s="106">
        <f>404000+340000</f>
        <v>744000</v>
      </c>
      <c r="I185" s="117">
        <f t="shared" si="12"/>
        <v>1741100</v>
      </c>
    </row>
    <row r="186" spans="1:9">
      <c r="A186" s="119">
        <v>97</v>
      </c>
      <c r="B186" s="119">
        <v>17</v>
      </c>
      <c r="C186" s="121" t="s">
        <v>170</v>
      </c>
      <c r="D186" s="106">
        <f>0</f>
        <v>0</v>
      </c>
      <c r="E186" s="106">
        <f>0</f>
        <v>0</v>
      </c>
      <c r="F186" s="117">
        <f t="shared" si="11"/>
        <v>0</v>
      </c>
      <c r="G186" s="106"/>
      <c r="H186" s="106"/>
      <c r="I186" s="117">
        <f t="shared" si="12"/>
        <v>0</v>
      </c>
    </row>
    <row r="187" spans="1:9">
      <c r="A187" s="119">
        <v>98</v>
      </c>
      <c r="B187" s="119">
        <v>18</v>
      </c>
      <c r="C187" s="121" t="s">
        <v>171</v>
      </c>
      <c r="D187" s="106">
        <f>0</f>
        <v>0</v>
      </c>
      <c r="E187" s="106">
        <f>0</f>
        <v>0</v>
      </c>
      <c r="F187" s="117">
        <f t="shared" si="11"/>
        <v>0</v>
      </c>
      <c r="G187" s="106"/>
      <c r="H187" s="106"/>
      <c r="I187" s="117">
        <f t="shared" si="12"/>
        <v>0</v>
      </c>
    </row>
    <row r="188" spans="1:9">
      <c r="A188" s="119">
        <v>99</v>
      </c>
      <c r="B188" s="119">
        <v>19</v>
      </c>
      <c r="C188" s="121" t="s">
        <v>172</v>
      </c>
      <c r="D188" s="106">
        <f>0</f>
        <v>0</v>
      </c>
      <c r="E188" s="106">
        <f>0</f>
        <v>0</v>
      </c>
      <c r="F188" s="117">
        <f t="shared" si="11"/>
        <v>0</v>
      </c>
      <c r="G188" s="106"/>
      <c r="H188" s="106"/>
      <c r="I188" s="117">
        <f t="shared" si="12"/>
        <v>0</v>
      </c>
    </row>
    <row r="189" spans="1:9">
      <c r="A189" s="119">
        <v>100</v>
      </c>
      <c r="B189" s="119">
        <v>20</v>
      </c>
      <c r="C189" s="121" t="s">
        <v>173</v>
      </c>
      <c r="D189" s="106">
        <f>0</f>
        <v>0</v>
      </c>
      <c r="E189" s="106">
        <f>0</f>
        <v>0</v>
      </c>
      <c r="F189" s="117">
        <f t="shared" si="11"/>
        <v>0</v>
      </c>
      <c r="G189" s="106"/>
      <c r="H189" s="106"/>
      <c r="I189" s="117">
        <f t="shared" si="12"/>
        <v>0</v>
      </c>
    </row>
    <row r="190" spans="1:9">
      <c r="A190" s="119">
        <v>101</v>
      </c>
      <c r="B190" s="119">
        <v>21</v>
      </c>
      <c r="C190" s="121" t="s">
        <v>174</v>
      </c>
      <c r="D190" s="106">
        <f>0</f>
        <v>0</v>
      </c>
      <c r="E190" s="106">
        <f>0</f>
        <v>0</v>
      </c>
      <c r="F190" s="117">
        <f>SUM(D190:E190)</f>
        <v>0</v>
      </c>
      <c r="G190" s="106"/>
      <c r="H190" s="106"/>
      <c r="I190" s="117">
        <f>SUM(G190:H190)</f>
        <v>0</v>
      </c>
    </row>
    <row r="191" spans="1:9">
      <c r="A191" s="119">
        <v>102</v>
      </c>
      <c r="B191" s="119">
        <v>22</v>
      </c>
      <c r="C191" s="121" t="s">
        <v>175</v>
      </c>
      <c r="D191" s="106">
        <f>0</f>
        <v>0</v>
      </c>
      <c r="E191" s="106">
        <f>0</f>
        <v>0</v>
      </c>
      <c r="F191" s="117">
        <f>SUM(D191:E191)</f>
        <v>0</v>
      </c>
      <c r="G191" s="106"/>
      <c r="H191" s="106"/>
      <c r="I191" s="117">
        <f t="shared" si="12"/>
        <v>0</v>
      </c>
    </row>
    <row r="192" spans="1:9">
      <c r="A192" s="119">
        <v>103</v>
      </c>
      <c r="B192" s="119">
        <v>23</v>
      </c>
      <c r="C192" s="121" t="s">
        <v>176</v>
      </c>
      <c r="D192" s="106">
        <f>0</f>
        <v>0</v>
      </c>
      <c r="E192" s="106">
        <f>0</f>
        <v>0</v>
      </c>
      <c r="F192" s="117">
        <f>SUM(D192:E192)</f>
        <v>0</v>
      </c>
      <c r="G192" s="106"/>
      <c r="H192" s="106"/>
      <c r="I192" s="117">
        <f t="shared" si="12"/>
        <v>0</v>
      </c>
    </row>
    <row r="193" spans="1:9">
      <c r="A193" s="108" t="s">
        <v>58</v>
      </c>
      <c r="B193" s="109"/>
      <c r="C193" s="109"/>
      <c r="D193" s="110">
        <f>SUM(D170:D192)</f>
        <v>32170168</v>
      </c>
      <c r="E193" s="110">
        <f>SUM(E170:E192)</f>
        <v>1827500</v>
      </c>
      <c r="F193" s="110">
        <f>SUM(D193:E193)</f>
        <v>33997668</v>
      </c>
      <c r="G193" s="110">
        <f>SUM(G170:G192)</f>
        <v>23876325</v>
      </c>
      <c r="H193" s="110">
        <f>SUM(H170:H192)</f>
        <v>1894500</v>
      </c>
      <c r="I193" s="110">
        <f>SUM(G193:H193)</f>
        <v>25770825</v>
      </c>
    </row>
    <row r="194" spans="1:9">
      <c r="A194" s="108" t="s">
        <v>177</v>
      </c>
      <c r="B194" s="109"/>
      <c r="C194" s="109"/>
      <c r="D194" s="109"/>
      <c r="E194" s="109"/>
      <c r="F194" s="109"/>
      <c r="G194" s="109"/>
      <c r="H194" s="109"/>
      <c r="I194" s="113"/>
    </row>
    <row r="195" spans="1:9">
      <c r="A195" s="119">
        <v>104</v>
      </c>
      <c r="B195" s="119">
        <v>1</v>
      </c>
      <c r="C195" s="105" t="s">
        <v>178</v>
      </c>
      <c r="D195" s="106">
        <f>0</f>
        <v>0</v>
      </c>
      <c r="E195" s="106">
        <f>0</f>
        <v>0</v>
      </c>
      <c r="F195" s="117">
        <f>SUM(D195:E195)</f>
        <v>0</v>
      </c>
      <c r="G195" s="106">
        <f>0</f>
        <v>0</v>
      </c>
      <c r="H195" s="106">
        <f>0</f>
        <v>0</v>
      </c>
      <c r="I195" s="117">
        <f>SUM(G195:H195)</f>
        <v>0</v>
      </c>
    </row>
    <row r="196" spans="1:9">
      <c r="A196" s="119">
        <v>105</v>
      </c>
      <c r="B196" s="119">
        <v>2</v>
      </c>
      <c r="C196" s="120" t="s">
        <v>179</v>
      </c>
      <c r="D196" s="106">
        <v>255201</v>
      </c>
      <c r="E196" s="106">
        <v>255201</v>
      </c>
      <c r="F196" s="117">
        <f t="shared" ref="F196:F241" si="13">SUM(D196:E196)</f>
        <v>510402</v>
      </c>
      <c r="G196" s="106">
        <v>255201</v>
      </c>
      <c r="H196" s="106">
        <v>74100</v>
      </c>
      <c r="I196" s="117">
        <f t="shared" ref="I196:I247" si="14">SUM(G196:H196)</f>
        <v>329301</v>
      </c>
    </row>
    <row r="197" spans="1:9">
      <c r="A197" s="119">
        <v>106</v>
      </c>
      <c r="B197" s="119">
        <v>3</v>
      </c>
      <c r="C197" s="120" t="s">
        <v>180</v>
      </c>
      <c r="D197" s="106">
        <f>0</f>
        <v>0</v>
      </c>
      <c r="E197" s="106">
        <v>100000</v>
      </c>
      <c r="F197" s="117">
        <f t="shared" si="13"/>
        <v>100000</v>
      </c>
      <c r="G197" s="106">
        <f>0</f>
        <v>0</v>
      </c>
      <c r="H197" s="106">
        <v>95000</v>
      </c>
      <c r="I197" s="117">
        <f t="shared" si="14"/>
        <v>95000</v>
      </c>
    </row>
    <row r="198" spans="1:9">
      <c r="A198" s="119">
        <v>107</v>
      </c>
      <c r="B198" s="119">
        <v>4</v>
      </c>
      <c r="C198" s="105" t="s">
        <v>181</v>
      </c>
      <c r="D198" s="106">
        <v>830200</v>
      </c>
      <c r="E198" s="106">
        <v>84000</v>
      </c>
      <c r="F198" s="117">
        <f t="shared" si="13"/>
        <v>914200</v>
      </c>
      <c r="G198" s="106"/>
      <c r="H198" s="106"/>
      <c r="I198" s="117">
        <f t="shared" si="14"/>
        <v>0</v>
      </c>
    </row>
    <row r="199" spans="1:9">
      <c r="A199" s="119">
        <v>108</v>
      </c>
      <c r="B199" s="119">
        <v>5</v>
      </c>
      <c r="C199" s="130" t="s">
        <v>182</v>
      </c>
      <c r="D199" s="106">
        <f>0</f>
        <v>0</v>
      </c>
      <c r="E199" s="106">
        <f>0</f>
        <v>0</v>
      </c>
      <c r="F199" s="117">
        <f t="shared" si="13"/>
        <v>0</v>
      </c>
      <c r="G199" s="106"/>
      <c r="H199" s="106"/>
      <c r="I199" s="117">
        <f t="shared" si="14"/>
        <v>0</v>
      </c>
    </row>
    <row r="200" spans="1:9">
      <c r="A200" s="119">
        <v>109</v>
      </c>
      <c r="B200" s="119">
        <v>6</v>
      </c>
      <c r="C200" s="130" t="s">
        <v>183</v>
      </c>
      <c r="D200" s="106">
        <f>0</f>
        <v>0</v>
      </c>
      <c r="E200" s="106">
        <f>0</f>
        <v>0</v>
      </c>
      <c r="F200" s="117">
        <f t="shared" si="13"/>
        <v>0</v>
      </c>
      <c r="G200" s="106"/>
      <c r="H200" s="106"/>
      <c r="I200" s="117">
        <f t="shared" si="14"/>
        <v>0</v>
      </c>
    </row>
    <row r="201" spans="1:9">
      <c r="A201" s="119">
        <v>110</v>
      </c>
      <c r="B201" s="119">
        <v>7</v>
      </c>
      <c r="C201" s="130" t="s">
        <v>184</v>
      </c>
      <c r="D201" s="106">
        <v>442800</v>
      </c>
      <c r="E201" s="106">
        <v>371500</v>
      </c>
      <c r="F201" s="117">
        <f t="shared" si="13"/>
        <v>814300</v>
      </c>
      <c r="G201" s="106">
        <v>442800</v>
      </c>
      <c r="H201" s="106">
        <v>371500</v>
      </c>
      <c r="I201" s="117">
        <f t="shared" si="14"/>
        <v>814300</v>
      </c>
    </row>
    <row r="202" spans="1:9">
      <c r="A202" s="119">
        <v>111</v>
      </c>
      <c r="B202" s="119">
        <v>8</v>
      </c>
      <c r="C202" s="130" t="s">
        <v>185</v>
      </c>
      <c r="D202" s="106">
        <f>0</f>
        <v>0</v>
      </c>
      <c r="E202" s="106">
        <f>0</f>
        <v>0</v>
      </c>
      <c r="F202" s="117">
        <f t="shared" si="13"/>
        <v>0</v>
      </c>
      <c r="G202" s="106"/>
      <c r="H202" s="106"/>
      <c r="I202" s="117">
        <f t="shared" si="14"/>
        <v>0</v>
      </c>
    </row>
    <row r="203" spans="1:9">
      <c r="A203" s="119">
        <v>112</v>
      </c>
      <c r="B203" s="119">
        <v>9</v>
      </c>
      <c r="C203" s="130" t="s">
        <v>186</v>
      </c>
      <c r="D203" s="106">
        <f>0</f>
        <v>0</v>
      </c>
      <c r="E203" s="106">
        <f>0</f>
        <v>0</v>
      </c>
      <c r="F203" s="117">
        <f t="shared" si="13"/>
        <v>0</v>
      </c>
      <c r="G203" s="106"/>
      <c r="H203" s="106"/>
      <c r="I203" s="117">
        <f t="shared" si="14"/>
        <v>0</v>
      </c>
    </row>
    <row r="204" spans="1:9">
      <c r="A204" s="119">
        <v>113</v>
      </c>
      <c r="B204" s="119">
        <v>10</v>
      </c>
      <c r="C204" s="130" t="s">
        <v>187</v>
      </c>
      <c r="D204" s="106">
        <f>0</f>
        <v>0</v>
      </c>
      <c r="E204" s="106">
        <f>322000+322000+322000</f>
        <v>966000</v>
      </c>
      <c r="F204" s="117">
        <f t="shared" si="13"/>
        <v>966000</v>
      </c>
      <c r="G204" s="106"/>
      <c r="H204" s="106"/>
      <c r="I204" s="117">
        <f t="shared" si="14"/>
        <v>0</v>
      </c>
    </row>
    <row r="205" spans="1:9">
      <c r="A205" s="119">
        <v>114</v>
      </c>
      <c r="B205" s="119">
        <v>11</v>
      </c>
      <c r="C205" s="130" t="s">
        <v>188</v>
      </c>
      <c r="D205" s="106">
        <f>0</f>
        <v>0</v>
      </c>
      <c r="E205" s="106">
        <f>0</f>
        <v>0</v>
      </c>
      <c r="F205" s="117">
        <f t="shared" si="13"/>
        <v>0</v>
      </c>
      <c r="G205" s="106"/>
      <c r="H205" s="106"/>
      <c r="I205" s="117">
        <f t="shared" si="14"/>
        <v>0</v>
      </c>
    </row>
    <row r="206" spans="1:9">
      <c r="A206" s="119">
        <v>115</v>
      </c>
      <c r="B206" s="119">
        <v>12</v>
      </c>
      <c r="C206" s="130" t="s">
        <v>189</v>
      </c>
      <c r="D206" s="106">
        <f>0</f>
        <v>0</v>
      </c>
      <c r="E206" s="106">
        <f>300000+300000+300000+300000+300000+300000</f>
        <v>1800000</v>
      </c>
      <c r="F206" s="117">
        <f t="shared" si="13"/>
        <v>1800000</v>
      </c>
      <c r="G206" s="106">
        <f>0</f>
        <v>0</v>
      </c>
      <c r="H206" s="106">
        <v>300000</v>
      </c>
      <c r="I206" s="117">
        <f>SUM(G206:H206)</f>
        <v>300000</v>
      </c>
    </row>
    <row r="207" spans="1:9">
      <c r="A207" s="119">
        <v>116</v>
      </c>
      <c r="B207" s="119">
        <v>13</v>
      </c>
      <c r="C207" s="130" t="s">
        <v>190</v>
      </c>
      <c r="D207" s="106">
        <f>0</f>
        <v>0</v>
      </c>
      <c r="E207" s="106">
        <f>0</f>
        <v>0</v>
      </c>
      <c r="F207" s="117">
        <f t="shared" si="13"/>
        <v>0</v>
      </c>
      <c r="G207" s="106">
        <f>0</f>
        <v>0</v>
      </c>
      <c r="H207" s="106"/>
      <c r="I207" s="117">
        <f t="shared" si="14"/>
        <v>0</v>
      </c>
    </row>
    <row r="208" spans="1:9">
      <c r="A208" s="119">
        <v>117</v>
      </c>
      <c r="B208" s="119">
        <v>14</v>
      </c>
      <c r="C208" s="130" t="s">
        <v>191</v>
      </c>
      <c r="D208" s="106">
        <v>450000</v>
      </c>
      <c r="E208" s="106">
        <v>300000</v>
      </c>
      <c r="F208" s="117">
        <f t="shared" si="13"/>
        <v>750000</v>
      </c>
      <c r="G208" s="106">
        <f>0</f>
        <v>0</v>
      </c>
      <c r="H208" s="106"/>
      <c r="I208" s="117">
        <f t="shared" si="14"/>
        <v>0</v>
      </c>
    </row>
    <row r="209" spans="1:9">
      <c r="A209" s="119">
        <v>118</v>
      </c>
      <c r="B209" s="119">
        <v>15</v>
      </c>
      <c r="C209" s="130" t="s">
        <v>192</v>
      </c>
      <c r="D209" s="106">
        <f>0</f>
        <v>0</v>
      </c>
      <c r="E209" s="106">
        <v>27000</v>
      </c>
      <c r="F209" s="117">
        <f t="shared" si="13"/>
        <v>27000</v>
      </c>
      <c r="G209" s="106">
        <f>0</f>
        <v>0</v>
      </c>
      <c r="H209" s="106">
        <v>26000</v>
      </c>
      <c r="I209" s="117">
        <f t="shared" si="14"/>
        <v>26000</v>
      </c>
    </row>
    <row r="210" spans="1:9">
      <c r="A210" s="119">
        <v>119</v>
      </c>
      <c r="B210" s="119">
        <v>16</v>
      </c>
      <c r="C210" s="130" t="s">
        <v>193</v>
      </c>
      <c r="D210" s="106">
        <f>0</f>
        <v>0</v>
      </c>
      <c r="E210" s="106"/>
      <c r="F210" s="117">
        <f t="shared" si="13"/>
        <v>0</v>
      </c>
      <c r="G210" s="106">
        <f>0</f>
        <v>0</v>
      </c>
      <c r="H210" s="106"/>
      <c r="I210" s="117">
        <f t="shared" si="14"/>
        <v>0</v>
      </c>
    </row>
    <row r="211" spans="1:9">
      <c r="A211" s="119">
        <v>120</v>
      </c>
      <c r="B211" s="119">
        <v>17</v>
      </c>
      <c r="C211" s="130" t="s">
        <v>194</v>
      </c>
      <c r="D211" s="106">
        <f>0</f>
        <v>0</v>
      </c>
      <c r="E211" s="106">
        <v>27000</v>
      </c>
      <c r="F211" s="117">
        <f t="shared" si="13"/>
        <v>27000</v>
      </c>
      <c r="G211" s="106">
        <f>0</f>
        <v>0</v>
      </c>
      <c r="H211" s="106">
        <v>27000</v>
      </c>
      <c r="I211" s="117">
        <f t="shared" si="14"/>
        <v>27000</v>
      </c>
    </row>
    <row r="212" spans="1:9">
      <c r="A212" s="119">
        <v>121</v>
      </c>
      <c r="B212" s="119">
        <v>18</v>
      </c>
      <c r="C212" s="130" t="s">
        <v>195</v>
      </c>
      <c r="D212" s="106">
        <f>0</f>
        <v>0</v>
      </c>
      <c r="E212" s="106"/>
      <c r="F212" s="117">
        <f t="shared" si="13"/>
        <v>0</v>
      </c>
      <c r="G212" s="106">
        <f>0</f>
        <v>0</v>
      </c>
      <c r="H212" s="106"/>
      <c r="I212" s="117">
        <f t="shared" si="14"/>
        <v>0</v>
      </c>
    </row>
    <row r="213" spans="1:9">
      <c r="A213" s="119">
        <v>122</v>
      </c>
      <c r="B213" s="119">
        <v>19</v>
      </c>
      <c r="C213" s="130" t="s">
        <v>196</v>
      </c>
      <c r="D213" s="106">
        <f>0</f>
        <v>0</v>
      </c>
      <c r="E213" s="106">
        <v>197000</v>
      </c>
      <c r="F213" s="117">
        <f t="shared" si="13"/>
        <v>197000</v>
      </c>
      <c r="G213" s="106">
        <f>0</f>
        <v>0</v>
      </c>
      <c r="H213" s="106">
        <v>197000</v>
      </c>
      <c r="I213" s="117">
        <f t="shared" si="14"/>
        <v>197000</v>
      </c>
    </row>
    <row r="214" spans="1:9">
      <c r="A214" s="119">
        <v>123</v>
      </c>
      <c r="B214" s="119">
        <v>20</v>
      </c>
      <c r="C214" s="130" t="s">
        <v>197</v>
      </c>
      <c r="D214" s="106">
        <f>0</f>
        <v>0</v>
      </c>
      <c r="E214" s="106">
        <f>0</f>
        <v>0</v>
      </c>
      <c r="F214" s="117">
        <f t="shared" si="13"/>
        <v>0</v>
      </c>
      <c r="G214" s="106"/>
      <c r="H214" s="106"/>
      <c r="I214" s="117">
        <f t="shared" si="14"/>
        <v>0</v>
      </c>
    </row>
    <row r="215" spans="1:9">
      <c r="A215" s="119">
        <v>124</v>
      </c>
      <c r="B215" s="119">
        <v>21</v>
      </c>
      <c r="C215" s="130" t="s">
        <v>198</v>
      </c>
      <c r="D215" s="106">
        <v>85000</v>
      </c>
      <c r="E215" s="106">
        <v>140000</v>
      </c>
      <c r="F215" s="117">
        <f t="shared" si="13"/>
        <v>225000</v>
      </c>
      <c r="G215" s="106"/>
      <c r="H215" s="106">
        <v>145000</v>
      </c>
      <c r="I215" s="117">
        <f t="shared" si="14"/>
        <v>145000</v>
      </c>
    </row>
    <row r="216" spans="1:9">
      <c r="A216" s="119">
        <v>125</v>
      </c>
      <c r="B216" s="119">
        <v>22</v>
      </c>
      <c r="C216" s="130" t="s">
        <v>199</v>
      </c>
      <c r="D216" s="106">
        <f>0</f>
        <v>0</v>
      </c>
      <c r="E216" s="106">
        <v>182500</v>
      </c>
      <c r="F216" s="117">
        <f t="shared" si="13"/>
        <v>182500</v>
      </c>
      <c r="G216" s="106"/>
      <c r="H216" s="106">
        <v>175000</v>
      </c>
      <c r="I216" s="117">
        <f t="shared" si="14"/>
        <v>175000</v>
      </c>
    </row>
    <row r="217" spans="1:9">
      <c r="A217" s="119">
        <v>126</v>
      </c>
      <c r="B217" s="119">
        <v>23</v>
      </c>
      <c r="C217" s="130" t="s">
        <v>200</v>
      </c>
      <c r="D217" s="106">
        <f>0</f>
        <v>0</v>
      </c>
      <c r="E217" s="106">
        <f>0</f>
        <v>0</v>
      </c>
      <c r="F217" s="117">
        <f t="shared" si="13"/>
        <v>0</v>
      </c>
      <c r="G217" s="106"/>
      <c r="H217" s="106"/>
      <c r="I217" s="117">
        <f t="shared" si="14"/>
        <v>0</v>
      </c>
    </row>
    <row r="218" spans="1:9">
      <c r="A218" s="119">
        <v>127</v>
      </c>
      <c r="B218" s="119">
        <v>24</v>
      </c>
      <c r="C218" s="130" t="s">
        <v>201</v>
      </c>
      <c r="D218" s="106">
        <v>79000</v>
      </c>
      <c r="E218" s="106">
        <v>665000</v>
      </c>
      <c r="F218" s="117">
        <f t="shared" si="13"/>
        <v>744000</v>
      </c>
      <c r="G218" s="106">
        <v>79000</v>
      </c>
      <c r="H218" s="106">
        <v>665000</v>
      </c>
      <c r="I218" s="117">
        <f t="shared" si="14"/>
        <v>744000</v>
      </c>
    </row>
    <row r="219" spans="1:9">
      <c r="A219" s="119">
        <v>128</v>
      </c>
      <c r="B219" s="119">
        <v>25</v>
      </c>
      <c r="C219" s="130" t="s">
        <v>202</v>
      </c>
      <c r="D219" s="106">
        <v>242000</v>
      </c>
      <c r="E219" s="106">
        <f>0</f>
        <v>0</v>
      </c>
      <c r="F219" s="117">
        <f t="shared" si="13"/>
        <v>242000</v>
      </c>
      <c r="G219" s="106">
        <v>353500</v>
      </c>
      <c r="H219" s="106">
        <v>224000</v>
      </c>
      <c r="I219" s="117">
        <f t="shared" si="14"/>
        <v>577500</v>
      </c>
    </row>
    <row r="220" spans="1:9">
      <c r="A220" s="119">
        <v>129</v>
      </c>
      <c r="B220" s="119">
        <v>26</v>
      </c>
      <c r="C220" s="130" t="s">
        <v>203</v>
      </c>
      <c r="D220" s="106">
        <f>0</f>
        <v>0</v>
      </c>
      <c r="E220" s="106">
        <f>0</f>
        <v>0</v>
      </c>
      <c r="F220" s="117">
        <f t="shared" si="13"/>
        <v>0</v>
      </c>
      <c r="G220" s="106"/>
      <c r="H220" s="106"/>
      <c r="I220" s="117">
        <f t="shared" si="14"/>
        <v>0</v>
      </c>
    </row>
    <row r="221" spans="1:9">
      <c r="A221" s="119">
        <v>130</v>
      </c>
      <c r="B221" s="119">
        <v>27</v>
      </c>
      <c r="C221" s="130" t="s">
        <v>204</v>
      </c>
      <c r="D221" s="106">
        <v>1000000</v>
      </c>
      <c r="E221" s="106">
        <f>0</f>
        <v>0</v>
      </c>
      <c r="F221" s="117">
        <f t="shared" si="13"/>
        <v>1000000</v>
      </c>
      <c r="G221" s="106">
        <v>1000000</v>
      </c>
      <c r="H221" s="106"/>
      <c r="I221" s="117">
        <f t="shared" si="14"/>
        <v>1000000</v>
      </c>
    </row>
    <row r="222" spans="1:9">
      <c r="A222" s="119">
        <v>131</v>
      </c>
      <c r="B222" s="119">
        <v>28</v>
      </c>
      <c r="C222" s="130" t="s">
        <v>205</v>
      </c>
      <c r="D222" s="106">
        <f>0</f>
        <v>0</v>
      </c>
      <c r="E222" s="106">
        <f>0</f>
        <v>0</v>
      </c>
      <c r="F222" s="117">
        <f t="shared" si="13"/>
        <v>0</v>
      </c>
      <c r="G222" s="106"/>
      <c r="H222" s="106"/>
      <c r="I222" s="117">
        <f t="shared" si="14"/>
        <v>0</v>
      </c>
    </row>
    <row r="223" spans="1:9">
      <c r="A223" s="119">
        <v>132</v>
      </c>
      <c r="B223" s="119">
        <v>29</v>
      </c>
      <c r="C223" s="130" t="s">
        <v>206</v>
      </c>
      <c r="D223" s="106">
        <f>0</f>
        <v>0</v>
      </c>
      <c r="E223" s="106">
        <v>1284000</v>
      </c>
      <c r="F223" s="117">
        <f t="shared" si="13"/>
        <v>1284000</v>
      </c>
      <c r="G223" s="106"/>
      <c r="H223" s="106"/>
      <c r="I223" s="117">
        <f t="shared" si="14"/>
        <v>0</v>
      </c>
    </row>
    <row r="224" spans="1:9">
      <c r="A224" s="119">
        <v>133</v>
      </c>
      <c r="B224" s="119">
        <v>30</v>
      </c>
      <c r="C224" s="130" t="s">
        <v>207</v>
      </c>
      <c r="D224" s="106">
        <f>0</f>
        <v>0</v>
      </c>
      <c r="E224" s="106">
        <f>0</f>
        <v>0</v>
      </c>
      <c r="F224" s="117">
        <f t="shared" si="13"/>
        <v>0</v>
      </c>
      <c r="G224" s="106"/>
      <c r="H224" s="106"/>
      <c r="I224" s="117">
        <f t="shared" si="14"/>
        <v>0</v>
      </c>
    </row>
    <row r="225" spans="1:9">
      <c r="A225" s="119">
        <v>134</v>
      </c>
      <c r="B225" s="119">
        <v>31</v>
      </c>
      <c r="C225" s="130" t="s">
        <v>208</v>
      </c>
      <c r="D225" s="106">
        <v>825000</v>
      </c>
      <c r="E225" s="106">
        <f>0</f>
        <v>0</v>
      </c>
      <c r="F225" s="117">
        <f t="shared" si="13"/>
        <v>825000</v>
      </c>
      <c r="G225" s="106"/>
      <c r="H225" s="106"/>
      <c r="I225" s="117">
        <f t="shared" si="14"/>
        <v>0</v>
      </c>
    </row>
    <row r="226" spans="1:9">
      <c r="A226" s="119">
        <v>135</v>
      </c>
      <c r="B226" s="119">
        <v>32</v>
      </c>
      <c r="C226" s="130" t="s">
        <v>209</v>
      </c>
      <c r="D226" s="106">
        <f>0</f>
        <v>0</v>
      </c>
      <c r="E226" s="106">
        <v>106000</v>
      </c>
      <c r="F226" s="117">
        <f t="shared" si="13"/>
        <v>106000</v>
      </c>
      <c r="G226" s="106"/>
      <c r="H226" s="106">
        <v>106000</v>
      </c>
      <c r="I226" s="117">
        <f t="shared" si="14"/>
        <v>106000</v>
      </c>
    </row>
    <row r="227" spans="1:9">
      <c r="A227" s="119">
        <v>136</v>
      </c>
      <c r="B227" s="119">
        <v>33</v>
      </c>
      <c r="C227" s="130" t="s">
        <v>210</v>
      </c>
      <c r="D227" s="106">
        <v>88000</v>
      </c>
      <c r="E227" s="106">
        <f>0</f>
        <v>0</v>
      </c>
      <c r="F227" s="117">
        <f t="shared" si="13"/>
        <v>88000</v>
      </c>
      <c r="G227" s="106">
        <v>88000</v>
      </c>
      <c r="H227" s="106"/>
      <c r="I227" s="117">
        <f t="shared" si="14"/>
        <v>88000</v>
      </c>
    </row>
    <row r="228" spans="1:9">
      <c r="A228" s="119">
        <v>137</v>
      </c>
      <c r="B228" s="119">
        <v>34</v>
      </c>
      <c r="C228" s="130" t="s">
        <v>211</v>
      </c>
      <c r="D228" s="106">
        <f>0</f>
        <v>0</v>
      </c>
      <c r="E228" s="106">
        <f>0</f>
        <v>0</v>
      </c>
      <c r="F228" s="117">
        <f t="shared" si="13"/>
        <v>0</v>
      </c>
      <c r="G228" s="106"/>
      <c r="H228" s="106"/>
      <c r="I228" s="117">
        <f t="shared" si="14"/>
        <v>0</v>
      </c>
    </row>
    <row r="229" spans="1:9">
      <c r="A229" s="119">
        <v>138</v>
      </c>
      <c r="B229" s="119">
        <v>35</v>
      </c>
      <c r="C229" s="130" t="s">
        <v>212</v>
      </c>
      <c r="D229" s="106">
        <f>0</f>
        <v>0</v>
      </c>
      <c r="E229" s="106">
        <f>0</f>
        <v>0</v>
      </c>
      <c r="F229" s="117">
        <f t="shared" si="13"/>
        <v>0</v>
      </c>
      <c r="G229" s="106"/>
      <c r="H229" s="106"/>
      <c r="I229" s="117">
        <f t="shared" si="14"/>
        <v>0</v>
      </c>
    </row>
    <row r="230" spans="1:9">
      <c r="A230" s="119">
        <v>139</v>
      </c>
      <c r="B230" s="119">
        <v>36</v>
      </c>
      <c r="C230" s="130" t="s">
        <v>213</v>
      </c>
      <c r="D230" s="106">
        <f>0</f>
        <v>0</v>
      </c>
      <c r="E230" s="106">
        <f>0</f>
        <v>0</v>
      </c>
      <c r="F230" s="117">
        <f t="shared" si="13"/>
        <v>0</v>
      </c>
      <c r="G230" s="106"/>
      <c r="H230" s="106"/>
      <c r="I230" s="117">
        <f t="shared" si="14"/>
        <v>0</v>
      </c>
    </row>
    <row r="231" spans="1:9">
      <c r="A231" s="119">
        <v>140</v>
      </c>
      <c r="B231" s="119">
        <v>37</v>
      </c>
      <c r="C231" s="130" t="s">
        <v>214</v>
      </c>
      <c r="D231" s="106">
        <f>0</f>
        <v>0</v>
      </c>
      <c r="E231" s="106">
        <f>0</f>
        <v>0</v>
      </c>
      <c r="F231" s="117">
        <f t="shared" si="13"/>
        <v>0</v>
      </c>
      <c r="G231" s="106"/>
      <c r="H231" s="106"/>
      <c r="I231" s="117">
        <f t="shared" si="14"/>
        <v>0</v>
      </c>
    </row>
    <row r="232" spans="1:9">
      <c r="A232" s="119">
        <v>141</v>
      </c>
      <c r="B232" s="119">
        <v>38</v>
      </c>
      <c r="C232" s="130" t="s">
        <v>215</v>
      </c>
      <c r="D232" s="106">
        <f>0</f>
        <v>0</v>
      </c>
      <c r="E232" s="106">
        <f>0</f>
        <v>0</v>
      </c>
      <c r="F232" s="117">
        <f t="shared" si="13"/>
        <v>0</v>
      </c>
      <c r="G232" s="106"/>
      <c r="H232" s="106"/>
      <c r="I232" s="117">
        <f t="shared" si="14"/>
        <v>0</v>
      </c>
    </row>
    <row r="233" spans="1:9">
      <c r="A233" s="119">
        <v>142</v>
      </c>
      <c r="B233" s="119">
        <v>39</v>
      </c>
      <c r="C233" s="130" t="s">
        <v>216</v>
      </c>
      <c r="D233" s="106">
        <f>0</f>
        <v>0</v>
      </c>
      <c r="E233" s="106">
        <v>350000</v>
      </c>
      <c r="F233" s="117">
        <f t="shared" si="13"/>
        <v>350000</v>
      </c>
      <c r="G233" s="106"/>
      <c r="H233" s="106">
        <v>350000</v>
      </c>
      <c r="I233" s="117">
        <f t="shared" si="14"/>
        <v>350000</v>
      </c>
    </row>
    <row r="234" spans="1:9">
      <c r="A234" s="119">
        <v>143</v>
      </c>
      <c r="B234" s="119">
        <v>40</v>
      </c>
      <c r="C234" s="130" t="s">
        <v>217</v>
      </c>
      <c r="D234" s="106">
        <f>0</f>
        <v>0</v>
      </c>
      <c r="E234" s="106"/>
      <c r="F234" s="117">
        <f t="shared" si="13"/>
        <v>0</v>
      </c>
      <c r="G234" s="106"/>
      <c r="H234" s="106"/>
      <c r="I234" s="117">
        <f t="shared" si="14"/>
        <v>0</v>
      </c>
    </row>
    <row r="235" spans="1:9">
      <c r="A235" s="119">
        <v>144</v>
      </c>
      <c r="B235" s="119">
        <v>41</v>
      </c>
      <c r="C235" s="130" t="s">
        <v>218</v>
      </c>
      <c r="D235" s="106">
        <f>0</f>
        <v>0</v>
      </c>
      <c r="E235" s="106">
        <f>0</f>
        <v>0</v>
      </c>
      <c r="F235" s="117">
        <f t="shared" si="13"/>
        <v>0</v>
      </c>
      <c r="G235" s="106"/>
      <c r="H235" s="106">
        <v>750000</v>
      </c>
      <c r="I235" s="117">
        <f t="shared" si="14"/>
        <v>750000</v>
      </c>
    </row>
    <row r="236" spans="1:9">
      <c r="A236" s="119">
        <v>145</v>
      </c>
      <c r="B236" s="119">
        <v>42</v>
      </c>
      <c r="C236" s="130" t="s">
        <v>219</v>
      </c>
      <c r="D236" s="106">
        <f>0</f>
        <v>0</v>
      </c>
      <c r="E236" s="106">
        <f>0</f>
        <v>0</v>
      </c>
      <c r="F236" s="117">
        <f t="shared" si="13"/>
        <v>0</v>
      </c>
      <c r="G236" s="106"/>
      <c r="H236" s="106"/>
      <c r="I236" s="117">
        <f t="shared" si="14"/>
        <v>0</v>
      </c>
    </row>
    <row r="237" spans="1:9">
      <c r="A237" s="119">
        <v>146</v>
      </c>
      <c r="B237" s="119">
        <v>43</v>
      </c>
      <c r="C237" s="130" t="s">
        <v>220</v>
      </c>
      <c r="D237" s="106">
        <f>0</f>
        <v>0</v>
      </c>
      <c r="E237" s="106">
        <f>0</f>
        <v>0</v>
      </c>
      <c r="F237" s="117">
        <f t="shared" si="13"/>
        <v>0</v>
      </c>
      <c r="G237" s="106">
        <v>400000</v>
      </c>
      <c r="H237" s="106"/>
      <c r="I237" s="117">
        <f t="shared" si="14"/>
        <v>400000</v>
      </c>
    </row>
    <row r="238" spans="1:9">
      <c r="A238" s="119">
        <v>147</v>
      </c>
      <c r="B238" s="119">
        <v>44</v>
      </c>
      <c r="C238" s="130" t="s">
        <v>221</v>
      </c>
      <c r="D238" s="106">
        <v>1000000</v>
      </c>
      <c r="E238" s="106">
        <f>0</f>
        <v>0</v>
      </c>
      <c r="F238" s="117">
        <f t="shared" si="13"/>
        <v>1000000</v>
      </c>
      <c r="G238" s="106"/>
      <c r="H238" s="106"/>
      <c r="I238" s="117">
        <f t="shared" si="14"/>
        <v>0</v>
      </c>
    </row>
    <row r="239" spans="1:9">
      <c r="A239" s="119">
        <v>148</v>
      </c>
      <c r="B239" s="119">
        <v>45</v>
      </c>
      <c r="C239" s="130" t="s">
        <v>222</v>
      </c>
      <c r="D239" s="106">
        <f>0</f>
        <v>0</v>
      </c>
      <c r="E239" s="106">
        <f>0</f>
        <v>0</v>
      </c>
      <c r="F239" s="117">
        <f t="shared" si="13"/>
        <v>0</v>
      </c>
      <c r="G239" s="106"/>
      <c r="H239" s="106"/>
      <c r="I239" s="117">
        <f t="shared" si="14"/>
        <v>0</v>
      </c>
    </row>
    <row r="240" spans="1:9">
      <c r="A240" s="119">
        <v>149</v>
      </c>
      <c r="B240" s="119">
        <v>46</v>
      </c>
      <c r="C240" s="130" t="s">
        <v>306</v>
      </c>
      <c r="D240" s="106">
        <v>750000</v>
      </c>
      <c r="E240" s="106">
        <f>0</f>
        <v>0</v>
      </c>
      <c r="F240" s="117">
        <f t="shared" si="13"/>
        <v>750000</v>
      </c>
      <c r="G240" s="106"/>
      <c r="H240" s="106"/>
      <c r="I240" s="117">
        <f t="shared" si="14"/>
        <v>0</v>
      </c>
    </row>
    <row r="241" spans="1:9">
      <c r="A241" s="119">
        <v>150</v>
      </c>
      <c r="B241" s="119">
        <v>47</v>
      </c>
      <c r="C241" s="130" t="s">
        <v>281</v>
      </c>
      <c r="D241" s="106">
        <v>350000</v>
      </c>
      <c r="E241" s="106">
        <f>0</f>
        <v>0</v>
      </c>
      <c r="F241" s="117">
        <f t="shared" si="13"/>
        <v>350000</v>
      </c>
      <c r="G241" s="106">
        <v>350000</v>
      </c>
      <c r="H241" s="106"/>
      <c r="I241" s="117">
        <f t="shared" si="14"/>
        <v>350000</v>
      </c>
    </row>
    <row r="242" spans="1:9">
      <c r="A242" s="119">
        <v>151</v>
      </c>
      <c r="B242" s="119">
        <v>48</v>
      </c>
      <c r="C242" s="130" t="s">
        <v>347</v>
      </c>
      <c r="D242" s="106">
        <v>1000000</v>
      </c>
      <c r="E242" s="106">
        <f>0</f>
        <v>0</v>
      </c>
      <c r="F242" s="117">
        <f>0</f>
        <v>0</v>
      </c>
      <c r="G242" s="106">
        <v>1000000</v>
      </c>
      <c r="H242" s="106"/>
      <c r="I242" s="117">
        <f t="shared" si="14"/>
        <v>1000000</v>
      </c>
    </row>
    <row r="243" spans="1:9">
      <c r="A243" s="119">
        <v>152</v>
      </c>
      <c r="B243" s="119">
        <v>49</v>
      </c>
      <c r="C243" s="130" t="s">
        <v>348</v>
      </c>
      <c r="D243" s="106">
        <f>0</f>
        <v>0</v>
      </c>
      <c r="E243" s="106">
        <f>0</f>
        <v>0</v>
      </c>
      <c r="F243" s="117">
        <f>0</f>
        <v>0</v>
      </c>
      <c r="G243" s="106">
        <v>1000000</v>
      </c>
      <c r="H243" s="106"/>
      <c r="I243" s="117">
        <f t="shared" si="14"/>
        <v>1000000</v>
      </c>
    </row>
    <row r="244" spans="1:9">
      <c r="A244" s="119">
        <v>153</v>
      </c>
      <c r="B244" s="119">
        <v>50</v>
      </c>
      <c r="C244" s="130" t="s">
        <v>374</v>
      </c>
      <c r="D244" s="106">
        <v>1700000</v>
      </c>
      <c r="E244" s="106">
        <f>0</f>
        <v>0</v>
      </c>
      <c r="F244" s="117">
        <f>0</f>
        <v>0</v>
      </c>
      <c r="G244" s="106">
        <v>1700000</v>
      </c>
      <c r="H244" s="106"/>
      <c r="I244" s="117">
        <f t="shared" si="14"/>
        <v>1700000</v>
      </c>
    </row>
    <row r="245" spans="1:9">
      <c r="A245" s="119">
        <v>154</v>
      </c>
      <c r="B245" s="119">
        <v>51</v>
      </c>
      <c r="C245" s="130" t="s">
        <v>375</v>
      </c>
      <c r="D245" s="106">
        <f>0</f>
        <v>0</v>
      </c>
      <c r="E245" s="106">
        <f>0</f>
        <v>0</v>
      </c>
      <c r="F245" s="117">
        <f>0</f>
        <v>0</v>
      </c>
      <c r="G245" s="106">
        <f>0</f>
        <v>0</v>
      </c>
      <c r="H245" s="106">
        <f>0</f>
        <v>0</v>
      </c>
      <c r="I245" s="117">
        <f t="shared" si="14"/>
        <v>0</v>
      </c>
    </row>
    <row r="246" spans="1:9">
      <c r="A246" s="119">
        <v>155</v>
      </c>
      <c r="B246" s="119">
        <v>52</v>
      </c>
      <c r="C246" s="130" t="s">
        <v>224</v>
      </c>
      <c r="D246" s="106">
        <f>0</f>
        <v>0</v>
      </c>
      <c r="E246" s="106">
        <f>0</f>
        <v>0</v>
      </c>
      <c r="F246" s="117">
        <f>SUM(D246:E246)</f>
        <v>0</v>
      </c>
      <c r="G246" s="106">
        <f>0</f>
        <v>0</v>
      </c>
      <c r="H246" s="106">
        <f>0</f>
        <v>0</v>
      </c>
      <c r="I246" s="117">
        <f t="shared" si="14"/>
        <v>0</v>
      </c>
    </row>
    <row r="247" spans="1:9">
      <c r="A247" s="119">
        <v>156</v>
      </c>
      <c r="B247" s="119">
        <v>53</v>
      </c>
      <c r="C247" s="131" t="s">
        <v>225</v>
      </c>
      <c r="D247" s="106">
        <v>860000</v>
      </c>
      <c r="E247" s="106">
        <f>0</f>
        <v>0</v>
      </c>
      <c r="F247" s="117">
        <f>SUM(D247:E247)</f>
        <v>860000</v>
      </c>
      <c r="G247" s="106">
        <v>860000</v>
      </c>
      <c r="H247" s="106">
        <f>0</f>
        <v>0</v>
      </c>
      <c r="I247" s="117">
        <f t="shared" si="14"/>
        <v>860000</v>
      </c>
    </row>
    <row r="248" spans="1:9">
      <c r="A248" s="132" t="s">
        <v>58</v>
      </c>
      <c r="B248" s="132"/>
      <c r="C248" s="132"/>
      <c r="D248" s="110">
        <f>SUM(D195:D247)</f>
        <v>9957201</v>
      </c>
      <c r="E248" s="110">
        <f>SUM(E195:E247)</f>
        <v>6855201</v>
      </c>
      <c r="F248" s="110">
        <f>SUM(D248:E248)</f>
        <v>16812402</v>
      </c>
      <c r="G248" s="110">
        <f>SUM(G195:G247)</f>
        <v>7528501</v>
      </c>
      <c r="H248" s="110">
        <f>SUM(H195:H247)</f>
        <v>3505600</v>
      </c>
      <c r="I248" s="110">
        <f>SUM(G248:H248)</f>
        <v>11034101</v>
      </c>
    </row>
    <row r="249" spans="1:9">
      <c r="A249" s="108" t="s">
        <v>226</v>
      </c>
      <c r="B249" s="109"/>
      <c r="C249" s="109"/>
      <c r="D249" s="109"/>
      <c r="E249" s="109"/>
      <c r="F249" s="109"/>
      <c r="G249" s="109"/>
      <c r="H249" s="109"/>
      <c r="I249" s="113"/>
    </row>
    <row r="250" spans="1:9">
      <c r="A250" s="119">
        <v>157</v>
      </c>
      <c r="B250" s="119">
        <v>1</v>
      </c>
      <c r="C250" s="125" t="s">
        <v>227</v>
      </c>
      <c r="D250" s="106">
        <v>1247098</v>
      </c>
      <c r="E250" s="106">
        <v>30000</v>
      </c>
      <c r="F250" s="117">
        <f>SUM(D250:E250)</f>
        <v>1277098</v>
      </c>
      <c r="G250" s="106">
        <v>1133288</v>
      </c>
      <c r="H250" s="106">
        <v>30000</v>
      </c>
      <c r="I250" s="117">
        <f>SUM(G250:H250)</f>
        <v>1163288</v>
      </c>
    </row>
    <row r="251" spans="1:9">
      <c r="A251" s="108" t="s">
        <v>101</v>
      </c>
      <c r="B251" s="109"/>
      <c r="C251" s="109"/>
      <c r="D251" s="110">
        <f>D250</f>
        <v>1247098</v>
      </c>
      <c r="E251" s="110">
        <f>E250</f>
        <v>30000</v>
      </c>
      <c r="F251" s="110">
        <f>SUM(D251:E251)</f>
        <v>1277098</v>
      </c>
      <c r="G251" s="110">
        <f>G250</f>
        <v>1133288</v>
      </c>
      <c r="H251" s="110">
        <f>H250</f>
        <v>30000</v>
      </c>
      <c r="I251" s="110">
        <f>SUM(G251:H251)</f>
        <v>1163288</v>
      </c>
    </row>
    <row r="252" spans="1:9">
      <c r="A252" s="108" t="s">
        <v>228</v>
      </c>
      <c r="B252" s="109"/>
      <c r="C252" s="109"/>
      <c r="D252" s="109"/>
      <c r="E252" s="109"/>
      <c r="F252" s="109"/>
      <c r="G252" s="109"/>
      <c r="H252" s="109"/>
      <c r="I252" s="113"/>
    </row>
    <row r="253" spans="1:9">
      <c r="A253" s="119">
        <v>158</v>
      </c>
      <c r="B253" s="119">
        <v>1</v>
      </c>
      <c r="C253" s="133" t="s">
        <v>229</v>
      </c>
      <c r="D253" s="106">
        <f>0</f>
        <v>0</v>
      </c>
      <c r="E253" s="134">
        <f>0</f>
        <v>0</v>
      </c>
      <c r="F253" s="117">
        <f>SUM(D253:E253)</f>
        <v>0</v>
      </c>
      <c r="G253" s="106">
        <f>0</f>
        <v>0</v>
      </c>
      <c r="H253" s="134">
        <f>0</f>
        <v>0</v>
      </c>
      <c r="I253" s="117">
        <f>SUM(G253:H253)</f>
        <v>0</v>
      </c>
    </row>
    <row r="254" spans="1:9">
      <c r="A254" s="119">
        <v>159</v>
      </c>
      <c r="B254" s="119">
        <v>2</v>
      </c>
      <c r="C254" s="220" t="s">
        <v>429</v>
      </c>
      <c r="D254" s="106">
        <v>500000</v>
      </c>
      <c r="E254" s="134">
        <v>1500000</v>
      </c>
      <c r="F254" s="117">
        <f>SUM(D254:E254)</f>
        <v>2000000</v>
      </c>
      <c r="G254" s="106">
        <f>0</f>
        <v>0</v>
      </c>
      <c r="H254" s="134">
        <f>1500000</f>
        <v>1500000</v>
      </c>
      <c r="I254" s="117">
        <f>G254+H254</f>
        <v>1500000</v>
      </c>
    </row>
    <row r="255" spans="1:9">
      <c r="A255" s="108" t="s">
        <v>101</v>
      </c>
      <c r="B255" s="109"/>
      <c r="C255" s="109"/>
      <c r="D255" s="110">
        <f>SUM(D253:D254)</f>
        <v>500000</v>
      </c>
      <c r="E255" s="110">
        <f>SUM(E253:E254)</f>
        <v>1500000</v>
      </c>
      <c r="F255" s="110">
        <f>SUM(D255:E255)</f>
        <v>2000000</v>
      </c>
      <c r="G255" s="110">
        <f>SUM(G253:G254)</f>
        <v>0</v>
      </c>
      <c r="H255" s="110">
        <f>SUM(H253:H254)</f>
        <v>1500000</v>
      </c>
      <c r="I255" s="110">
        <f>SUM(G255:H255)</f>
        <v>1500000</v>
      </c>
    </row>
    <row r="256" spans="1:9">
      <c r="A256" s="108" t="s">
        <v>230</v>
      </c>
      <c r="B256" s="109"/>
      <c r="C256" s="109"/>
      <c r="D256" s="109"/>
      <c r="E256" s="109"/>
      <c r="F256" s="109"/>
      <c r="G256" s="109"/>
      <c r="H256" s="109"/>
      <c r="I256" s="113"/>
    </row>
    <row r="257" spans="1:9" s="189" customFormat="1">
      <c r="A257" s="186">
        <v>160</v>
      </c>
      <c r="B257" s="186">
        <v>1</v>
      </c>
      <c r="C257" s="228" t="s">
        <v>231</v>
      </c>
      <c r="D257" s="187">
        <f>0</f>
        <v>0</v>
      </c>
      <c r="E257" s="187">
        <f>0</f>
        <v>0</v>
      </c>
      <c r="F257" s="188">
        <f>SUM(D257:E257)</f>
        <v>0</v>
      </c>
      <c r="G257" s="187">
        <f>0</f>
        <v>0</v>
      </c>
      <c r="H257" s="187">
        <f>71817000+188000</f>
        <v>72005000</v>
      </c>
      <c r="I257" s="188">
        <f>SUM(G257:H257)</f>
        <v>72005000</v>
      </c>
    </row>
    <row r="258" spans="1:9" s="189" customFormat="1">
      <c r="A258" s="186">
        <v>161</v>
      </c>
      <c r="B258" s="186">
        <v>2</v>
      </c>
      <c r="C258" s="228" t="s">
        <v>232</v>
      </c>
      <c r="D258" s="187">
        <f>3000000</f>
        <v>3000000</v>
      </c>
      <c r="E258" s="187">
        <f>0</f>
        <v>0</v>
      </c>
      <c r="F258" s="188">
        <f t="shared" ref="F258:F283" si="15">SUM(D258:E258)</f>
        <v>3000000</v>
      </c>
      <c r="G258" s="187">
        <f>0</f>
        <v>0</v>
      </c>
      <c r="H258" s="187">
        <f>0</f>
        <v>0</v>
      </c>
      <c r="I258" s="188">
        <f t="shared" ref="I258:I281" si="16">SUM(G258:H258)</f>
        <v>0</v>
      </c>
    </row>
    <row r="259" spans="1:9" s="189" customFormat="1">
      <c r="A259" s="186">
        <v>162</v>
      </c>
      <c r="B259" s="186">
        <v>3</v>
      </c>
      <c r="C259" s="229" t="s">
        <v>307</v>
      </c>
      <c r="D259" s="187">
        <f>0</f>
        <v>0</v>
      </c>
      <c r="E259" s="187">
        <f>0</f>
        <v>0</v>
      </c>
      <c r="F259" s="188">
        <f t="shared" si="15"/>
        <v>0</v>
      </c>
      <c r="G259" s="187">
        <f>0</f>
        <v>0</v>
      </c>
      <c r="H259" s="187">
        <f>0</f>
        <v>0</v>
      </c>
      <c r="I259" s="188">
        <f t="shared" si="16"/>
        <v>0</v>
      </c>
    </row>
    <row r="260" spans="1:9" s="189" customFormat="1">
      <c r="A260" s="186">
        <v>163</v>
      </c>
      <c r="B260" s="186">
        <v>4</v>
      </c>
      <c r="C260" s="135" t="s">
        <v>233</v>
      </c>
      <c r="D260" s="187">
        <f>200000+450000+152500</f>
        <v>802500</v>
      </c>
      <c r="E260" s="187">
        <f>200000+50000</f>
        <v>250000</v>
      </c>
      <c r="F260" s="188">
        <f t="shared" si="15"/>
        <v>1052500</v>
      </c>
      <c r="G260" s="187">
        <f>65000+50000+17646+10048+10350+10760+10122+200000+88000+500000</f>
        <v>961926</v>
      </c>
      <c r="H260" s="187">
        <f>0</f>
        <v>0</v>
      </c>
      <c r="I260" s="188">
        <f t="shared" si="16"/>
        <v>961926</v>
      </c>
    </row>
    <row r="261" spans="1:9" s="189" customFormat="1">
      <c r="A261" s="186">
        <v>164</v>
      </c>
      <c r="B261" s="186">
        <v>5</v>
      </c>
      <c r="C261" s="135" t="s">
        <v>234</v>
      </c>
      <c r="D261" s="187">
        <v>120000</v>
      </c>
      <c r="E261" s="187">
        <f>0</f>
        <v>0</v>
      </c>
      <c r="F261" s="188">
        <f t="shared" si="15"/>
        <v>120000</v>
      </c>
      <c r="G261" s="187">
        <v>120000</v>
      </c>
      <c r="H261" s="187">
        <f>0</f>
        <v>0</v>
      </c>
      <c r="I261" s="188">
        <f t="shared" si="16"/>
        <v>120000</v>
      </c>
    </row>
    <row r="262" spans="1:9" s="189" customFormat="1">
      <c r="A262" s="186">
        <v>165</v>
      </c>
      <c r="B262" s="186">
        <v>6</v>
      </c>
      <c r="C262" s="135" t="s">
        <v>376</v>
      </c>
      <c r="D262" s="187">
        <f>0</f>
        <v>0</v>
      </c>
      <c r="E262" s="187">
        <f>0</f>
        <v>0</v>
      </c>
      <c r="F262" s="188">
        <f t="shared" si="15"/>
        <v>0</v>
      </c>
      <c r="G262" s="187">
        <v>1000000</v>
      </c>
      <c r="H262" s="187">
        <f>0</f>
        <v>0</v>
      </c>
      <c r="I262" s="188">
        <f t="shared" si="16"/>
        <v>1000000</v>
      </c>
    </row>
    <row r="263" spans="1:9" s="189" customFormat="1">
      <c r="A263" s="186">
        <v>166</v>
      </c>
      <c r="B263" s="186">
        <v>7</v>
      </c>
      <c r="C263" s="135" t="s">
        <v>430</v>
      </c>
      <c r="D263" s="187">
        <v>500000</v>
      </c>
      <c r="E263" s="187">
        <f>0</f>
        <v>0</v>
      </c>
      <c r="F263" s="188">
        <f t="shared" si="15"/>
        <v>500000</v>
      </c>
      <c r="G263" s="187">
        <v>268000</v>
      </c>
      <c r="H263" s="187">
        <f>0</f>
        <v>0</v>
      </c>
      <c r="I263" s="188">
        <f t="shared" si="16"/>
        <v>268000</v>
      </c>
    </row>
    <row r="264" spans="1:9" s="189" customFormat="1">
      <c r="A264" s="186">
        <v>167</v>
      </c>
      <c r="B264" s="186">
        <v>8</v>
      </c>
      <c r="C264" s="135" t="s">
        <v>431</v>
      </c>
      <c r="D264" s="187">
        <v>1200000</v>
      </c>
      <c r="E264" s="187">
        <f>0</f>
        <v>0</v>
      </c>
      <c r="F264" s="188">
        <f t="shared" si="15"/>
        <v>1200000</v>
      </c>
      <c r="G264" s="187">
        <f>0</f>
        <v>0</v>
      </c>
      <c r="H264" s="187">
        <f>0</f>
        <v>0</v>
      </c>
      <c r="I264" s="188">
        <f t="shared" si="16"/>
        <v>0</v>
      </c>
    </row>
    <row r="265" spans="1:9" s="189" customFormat="1">
      <c r="A265" s="186">
        <v>168</v>
      </c>
      <c r="B265" s="186">
        <v>9</v>
      </c>
      <c r="C265" s="135" t="s">
        <v>239</v>
      </c>
      <c r="D265" s="187">
        <v>1000000</v>
      </c>
      <c r="E265" s="187">
        <f>0</f>
        <v>0</v>
      </c>
      <c r="F265" s="188">
        <f t="shared" si="15"/>
        <v>1000000</v>
      </c>
      <c r="G265" s="187">
        <f>0</f>
        <v>0</v>
      </c>
      <c r="H265" s="187">
        <f>0</f>
        <v>0</v>
      </c>
      <c r="I265" s="188">
        <f t="shared" si="16"/>
        <v>0</v>
      </c>
    </row>
    <row r="266" spans="1:9" s="189" customFormat="1">
      <c r="A266" s="186">
        <v>169</v>
      </c>
      <c r="B266" s="186">
        <v>10</v>
      </c>
      <c r="C266" s="135" t="s">
        <v>432</v>
      </c>
      <c r="D266" s="187">
        <f>37000+37000+37000+37000+37000+37000</f>
        <v>222000</v>
      </c>
      <c r="E266" s="187">
        <f>0</f>
        <v>0</v>
      </c>
      <c r="F266" s="188">
        <f t="shared" si="15"/>
        <v>222000</v>
      </c>
      <c r="G266" s="187">
        <v>76000</v>
      </c>
      <c r="H266" s="187">
        <f>0</f>
        <v>0</v>
      </c>
      <c r="I266" s="188">
        <f>SUM(G266:H266)</f>
        <v>76000</v>
      </c>
    </row>
    <row r="267" spans="1:9" s="189" customFormat="1">
      <c r="A267" s="186">
        <v>170</v>
      </c>
      <c r="B267" s="186">
        <v>11</v>
      </c>
      <c r="C267" s="135" t="s">
        <v>238</v>
      </c>
      <c r="D267" s="187">
        <v>2260000</v>
      </c>
      <c r="E267" s="187">
        <f>0</f>
        <v>0</v>
      </c>
      <c r="F267" s="188">
        <f t="shared" si="15"/>
        <v>2260000</v>
      </c>
      <c r="G267" s="187">
        <v>1363000</v>
      </c>
      <c r="H267" s="187">
        <f>0</f>
        <v>0</v>
      </c>
      <c r="I267" s="188">
        <f t="shared" si="16"/>
        <v>1363000</v>
      </c>
    </row>
    <row r="268" spans="1:9" s="189" customFormat="1">
      <c r="A268" s="186">
        <v>171</v>
      </c>
      <c r="B268" s="186">
        <v>12</v>
      </c>
      <c r="C268" s="135" t="s">
        <v>433</v>
      </c>
      <c r="D268" s="187">
        <v>13000000</v>
      </c>
      <c r="E268" s="187">
        <f>0</f>
        <v>0</v>
      </c>
      <c r="F268" s="188">
        <f t="shared" si="15"/>
        <v>13000000</v>
      </c>
      <c r="G268" s="187">
        <f>0</f>
        <v>0</v>
      </c>
      <c r="H268" s="187">
        <f>0</f>
        <v>0</v>
      </c>
      <c r="I268" s="188">
        <f t="shared" si="16"/>
        <v>0</v>
      </c>
    </row>
    <row r="269" spans="1:9" s="189" customFormat="1">
      <c r="A269" s="186">
        <v>172</v>
      </c>
      <c r="B269" s="186">
        <v>13</v>
      </c>
      <c r="C269" s="135" t="s">
        <v>434</v>
      </c>
      <c r="D269" s="187">
        <v>4000000</v>
      </c>
      <c r="E269" s="187">
        <f>0</f>
        <v>0</v>
      </c>
      <c r="F269" s="188">
        <f t="shared" si="15"/>
        <v>4000000</v>
      </c>
      <c r="G269" s="187">
        <f>0</f>
        <v>0</v>
      </c>
      <c r="H269" s="187">
        <f>0</f>
        <v>0</v>
      </c>
      <c r="I269" s="188">
        <f t="shared" si="16"/>
        <v>0</v>
      </c>
    </row>
    <row r="270" spans="1:9" s="189" customFormat="1">
      <c r="A270" s="186">
        <v>173</v>
      </c>
      <c r="B270" s="186">
        <v>14</v>
      </c>
      <c r="C270" s="135" t="s">
        <v>435</v>
      </c>
      <c r="D270" s="187">
        <v>5156000</v>
      </c>
      <c r="E270" s="187">
        <f>0</f>
        <v>0</v>
      </c>
      <c r="F270" s="188">
        <f t="shared" si="15"/>
        <v>5156000</v>
      </c>
      <c r="G270" s="187">
        <f>0</f>
        <v>0</v>
      </c>
      <c r="H270" s="187">
        <f>0</f>
        <v>0</v>
      </c>
      <c r="I270" s="188">
        <f t="shared" si="16"/>
        <v>0</v>
      </c>
    </row>
    <row r="271" spans="1:9" s="189" customFormat="1">
      <c r="A271" s="186">
        <v>174</v>
      </c>
      <c r="B271" s="186">
        <v>15</v>
      </c>
      <c r="C271" s="135" t="s">
        <v>436</v>
      </c>
      <c r="D271" s="187">
        <v>150000</v>
      </c>
      <c r="E271" s="187">
        <f>0</f>
        <v>0</v>
      </c>
      <c r="F271" s="188">
        <f t="shared" si="15"/>
        <v>150000</v>
      </c>
      <c r="G271" s="187">
        <f>0</f>
        <v>0</v>
      </c>
      <c r="H271" s="187">
        <f>0</f>
        <v>0</v>
      </c>
      <c r="I271" s="188">
        <f t="shared" si="16"/>
        <v>0</v>
      </c>
    </row>
    <row r="272" spans="1:9" s="189" customFormat="1">
      <c r="A272" s="186">
        <v>175</v>
      </c>
      <c r="B272" s="186">
        <v>16</v>
      </c>
      <c r="C272" s="135" t="s">
        <v>437</v>
      </c>
      <c r="D272" s="187">
        <v>1000000</v>
      </c>
      <c r="E272" s="187">
        <f>0</f>
        <v>0</v>
      </c>
      <c r="F272" s="188">
        <f t="shared" si="15"/>
        <v>1000000</v>
      </c>
      <c r="G272" s="187">
        <f>0</f>
        <v>0</v>
      </c>
      <c r="H272" s="187">
        <f>0</f>
        <v>0</v>
      </c>
      <c r="I272" s="188">
        <f t="shared" si="16"/>
        <v>0</v>
      </c>
    </row>
    <row r="273" spans="1:9" s="189" customFormat="1">
      <c r="A273" s="186">
        <v>176</v>
      </c>
      <c r="B273" s="186">
        <v>17</v>
      </c>
      <c r="C273" s="135" t="s">
        <v>438</v>
      </c>
      <c r="D273" s="187">
        <v>1000000</v>
      </c>
      <c r="E273" s="187">
        <f>0</f>
        <v>0</v>
      </c>
      <c r="F273" s="188">
        <f t="shared" si="15"/>
        <v>1000000</v>
      </c>
      <c r="G273" s="187">
        <f>0</f>
        <v>0</v>
      </c>
      <c r="H273" s="187">
        <f>0</f>
        <v>0</v>
      </c>
      <c r="I273" s="188">
        <f t="shared" si="16"/>
        <v>0</v>
      </c>
    </row>
    <row r="274" spans="1:9" s="189" customFormat="1">
      <c r="A274" s="186">
        <v>177</v>
      </c>
      <c r="B274" s="186">
        <v>18</v>
      </c>
      <c r="C274" s="135" t="s">
        <v>439</v>
      </c>
      <c r="D274" s="187">
        <v>4590000</v>
      </c>
      <c r="E274" s="187">
        <f>0</f>
        <v>0</v>
      </c>
      <c r="F274" s="188">
        <f t="shared" si="15"/>
        <v>4590000</v>
      </c>
      <c r="G274" s="187">
        <f>0</f>
        <v>0</v>
      </c>
      <c r="H274" s="187">
        <f>0</f>
        <v>0</v>
      </c>
      <c r="I274" s="188">
        <f t="shared" si="16"/>
        <v>0</v>
      </c>
    </row>
    <row r="275" spans="1:9" s="189" customFormat="1">
      <c r="A275" s="186">
        <v>178</v>
      </c>
      <c r="B275" s="186">
        <v>19</v>
      </c>
      <c r="C275" s="135" t="s">
        <v>440</v>
      </c>
      <c r="D275" s="187">
        <v>500000</v>
      </c>
      <c r="E275" s="187">
        <f>0</f>
        <v>0</v>
      </c>
      <c r="F275" s="188">
        <f t="shared" si="15"/>
        <v>500000</v>
      </c>
      <c r="G275" s="187">
        <f>0</f>
        <v>0</v>
      </c>
      <c r="H275" s="187">
        <f>0</f>
        <v>0</v>
      </c>
      <c r="I275" s="188">
        <f t="shared" si="16"/>
        <v>0</v>
      </c>
    </row>
    <row r="276" spans="1:9" s="189" customFormat="1">
      <c r="A276" s="186">
        <v>179</v>
      </c>
      <c r="B276" s="186">
        <v>20</v>
      </c>
      <c r="C276" s="135" t="s">
        <v>441</v>
      </c>
      <c r="D276" s="187">
        <f>0</f>
        <v>0</v>
      </c>
      <c r="E276" s="187">
        <v>50000</v>
      </c>
      <c r="F276" s="188">
        <f t="shared" si="15"/>
        <v>50000</v>
      </c>
      <c r="G276" s="187">
        <f>0</f>
        <v>0</v>
      </c>
      <c r="H276" s="187">
        <f>0</f>
        <v>0</v>
      </c>
      <c r="I276" s="188">
        <f t="shared" si="16"/>
        <v>0</v>
      </c>
    </row>
    <row r="277" spans="1:9" s="189" customFormat="1">
      <c r="A277" s="186">
        <v>180</v>
      </c>
      <c r="B277" s="186">
        <v>21</v>
      </c>
      <c r="C277" s="135" t="s">
        <v>442</v>
      </c>
      <c r="D277" s="187">
        <f>7500+10000+7500</f>
        <v>25000</v>
      </c>
      <c r="E277" s="187">
        <f>0</f>
        <v>0</v>
      </c>
      <c r="F277" s="188">
        <f t="shared" si="15"/>
        <v>25000</v>
      </c>
      <c r="G277" s="187">
        <v>10000</v>
      </c>
      <c r="H277" s="187">
        <f>0</f>
        <v>0</v>
      </c>
      <c r="I277" s="188">
        <f t="shared" si="16"/>
        <v>10000</v>
      </c>
    </row>
    <row r="278" spans="1:9" s="189" customFormat="1">
      <c r="A278" s="186">
        <v>181</v>
      </c>
      <c r="B278" s="186">
        <v>22</v>
      </c>
      <c r="C278" s="135" t="s">
        <v>443</v>
      </c>
      <c r="D278" s="187">
        <v>100000</v>
      </c>
      <c r="E278" s="187">
        <f>0</f>
        <v>0</v>
      </c>
      <c r="F278" s="188">
        <f t="shared" si="15"/>
        <v>100000</v>
      </c>
      <c r="G278" s="187">
        <f>0</f>
        <v>0</v>
      </c>
      <c r="H278" s="187">
        <f>0</f>
        <v>0</v>
      </c>
      <c r="I278" s="188">
        <f t="shared" si="16"/>
        <v>0</v>
      </c>
    </row>
    <row r="279" spans="1:9" s="189" customFormat="1">
      <c r="A279" s="186">
        <v>182</v>
      </c>
      <c r="B279" s="186">
        <v>23</v>
      </c>
      <c r="C279" s="135" t="s">
        <v>498</v>
      </c>
      <c r="D279" s="187">
        <f>0</f>
        <v>0</v>
      </c>
      <c r="E279" s="187">
        <f>0</f>
        <v>0</v>
      </c>
      <c r="F279" s="188">
        <f t="shared" si="15"/>
        <v>0</v>
      </c>
      <c r="G279" s="187">
        <f>100000</f>
        <v>100000</v>
      </c>
      <c r="H279" s="187">
        <f>0</f>
        <v>0</v>
      </c>
      <c r="I279" s="188">
        <f t="shared" si="16"/>
        <v>100000</v>
      </c>
    </row>
    <row r="280" spans="1:9" s="189" customFormat="1">
      <c r="A280" s="186">
        <v>183</v>
      </c>
      <c r="B280" s="186">
        <v>24</v>
      </c>
      <c r="C280" s="135" t="s">
        <v>499</v>
      </c>
      <c r="D280" s="187">
        <f>0</f>
        <v>0</v>
      </c>
      <c r="E280" s="187">
        <f>0</f>
        <v>0</v>
      </c>
      <c r="F280" s="188">
        <f t="shared" si="15"/>
        <v>0</v>
      </c>
      <c r="G280" s="187">
        <f>0</f>
        <v>0</v>
      </c>
      <c r="H280" s="187">
        <f>250000+200000</f>
        <v>450000</v>
      </c>
      <c r="I280" s="188">
        <f t="shared" si="16"/>
        <v>450000</v>
      </c>
    </row>
    <row r="281" spans="1:9" s="189" customFormat="1">
      <c r="A281" s="186">
        <v>184</v>
      </c>
      <c r="B281" s="186">
        <v>25</v>
      </c>
      <c r="C281" s="135" t="s">
        <v>252</v>
      </c>
      <c r="D281" s="187">
        <f>0</f>
        <v>0</v>
      </c>
      <c r="E281" s="187">
        <f>0</f>
        <v>0</v>
      </c>
      <c r="F281" s="188">
        <f t="shared" si="15"/>
        <v>0</v>
      </c>
      <c r="G281" s="187">
        <f>0</f>
        <v>0</v>
      </c>
      <c r="H281" s="187">
        <f>0</f>
        <v>0</v>
      </c>
      <c r="I281" s="188">
        <f t="shared" si="16"/>
        <v>0</v>
      </c>
    </row>
    <row r="282" spans="1:9" ht="15.75" thickBot="1">
      <c r="A282" s="137" t="s">
        <v>101</v>
      </c>
      <c r="B282" s="138"/>
      <c r="C282" s="139"/>
      <c r="D282" s="140">
        <f>SUM(D257:D281)</f>
        <v>38625500</v>
      </c>
      <c r="E282" s="140">
        <f>SUM(E257:E281)</f>
        <v>300000</v>
      </c>
      <c r="F282" s="140">
        <f t="shared" si="15"/>
        <v>38925500</v>
      </c>
      <c r="G282" s="140">
        <f>SUM(G257:G281)</f>
        <v>3898926</v>
      </c>
      <c r="H282" s="140">
        <f>SUM(H257:H281)</f>
        <v>72455000</v>
      </c>
      <c r="I282" s="140">
        <f>SUM(G282:H282)</f>
        <v>76353926</v>
      </c>
    </row>
    <row r="283" spans="1:9" ht="16.5" thickTop="1" thickBot="1">
      <c r="A283" s="141" t="s">
        <v>253</v>
      </c>
      <c r="B283" s="142"/>
      <c r="C283" s="142"/>
      <c r="D283" s="143">
        <f>D282+D255+D251+D248+D193+D168+D146+D124+D121+D118+D112+D101+D85+D73</f>
        <v>163700344</v>
      </c>
      <c r="E283" s="143">
        <f>E282+E255+E251+E248+E193+E168+E146+E124+E121+E118+E112+E101+E85+E73</f>
        <v>52860715</v>
      </c>
      <c r="F283" s="143">
        <f t="shared" si="15"/>
        <v>216561059</v>
      </c>
      <c r="G283" s="143">
        <f>G282+G255+G251+G248+G193+G168+G146+G124+G121+G118+G112+G101+G85+G73</f>
        <v>116890787</v>
      </c>
      <c r="H283" s="143">
        <f>H282+H255+H251+H248+H193+H168+H146+H124+H121+H118+H112+H101+H85+H73</f>
        <v>116971934</v>
      </c>
      <c r="I283" s="143">
        <f>SUM(G283:H283)</f>
        <v>233862721</v>
      </c>
    </row>
    <row r="284" spans="1:9" ht="15.75" thickTop="1">
      <c r="A284" s="144"/>
      <c r="B284" s="145"/>
      <c r="C284" s="145"/>
      <c r="D284" s="145"/>
      <c r="E284" s="145"/>
      <c r="F284" s="145"/>
      <c r="G284" s="145"/>
      <c r="H284" s="145"/>
      <c r="I284" s="145"/>
    </row>
    <row r="285" spans="1:9">
      <c r="A285" s="144"/>
      <c r="B285" s="145"/>
      <c r="C285" s="145"/>
      <c r="D285" s="145"/>
      <c r="E285" s="145"/>
      <c r="F285" s="145"/>
      <c r="G285" s="145"/>
      <c r="H285" s="145"/>
      <c r="I285" s="145"/>
    </row>
    <row r="286" spans="1:9">
      <c r="A286" s="144"/>
      <c r="B286" s="145"/>
      <c r="C286" s="145"/>
      <c r="D286" s="145"/>
      <c r="E286" s="145"/>
      <c r="F286" s="145"/>
      <c r="G286" s="145"/>
      <c r="H286" s="145"/>
      <c r="I286" s="145"/>
    </row>
    <row r="287" spans="1:9">
      <c r="A287" s="144"/>
      <c r="B287" s="145"/>
      <c r="C287" s="145"/>
      <c r="D287" s="145"/>
      <c r="E287" s="145"/>
      <c r="F287" s="145"/>
      <c r="G287" s="145"/>
      <c r="H287" s="145"/>
      <c r="I287" s="145"/>
    </row>
    <row r="288" spans="1:9">
      <c r="A288" s="146" t="s">
        <v>254</v>
      </c>
      <c r="B288" s="146"/>
      <c r="C288" s="146"/>
      <c r="D288" s="146"/>
      <c r="E288" s="146"/>
      <c r="F288" s="146"/>
      <c r="G288" s="146"/>
      <c r="H288" s="146"/>
      <c r="I288" s="146"/>
    </row>
    <row r="289" spans="1:9">
      <c r="A289" s="144"/>
      <c r="B289" s="147" t="s">
        <v>500</v>
      </c>
      <c r="C289" s="147"/>
      <c r="D289" s="147"/>
      <c r="E289" s="147"/>
      <c r="F289" s="147"/>
      <c r="G289" s="147"/>
      <c r="H289" s="147"/>
      <c r="I289" s="147"/>
    </row>
    <row r="290" spans="1:9">
      <c r="A290" s="148" t="s">
        <v>256</v>
      </c>
      <c r="B290" s="149" t="s">
        <v>23</v>
      </c>
      <c r="C290" s="150" t="s">
        <v>24</v>
      </c>
      <c r="D290" s="151"/>
      <c r="E290" s="151"/>
      <c r="F290" s="151"/>
      <c r="G290" s="151"/>
      <c r="H290" s="152"/>
      <c r="I290" s="153" t="s">
        <v>101</v>
      </c>
    </row>
    <row r="291" spans="1:9">
      <c r="A291" s="144"/>
      <c r="B291" s="154"/>
      <c r="C291" s="155"/>
      <c r="D291" s="156"/>
      <c r="E291" s="156"/>
      <c r="F291" s="156"/>
      <c r="G291" s="156"/>
      <c r="H291" s="157"/>
      <c r="I291" s="153" t="s">
        <v>257</v>
      </c>
    </row>
    <row r="292" spans="1:9">
      <c r="A292" s="144"/>
      <c r="B292" s="158"/>
      <c r="C292" s="159" t="s">
        <v>258</v>
      </c>
      <c r="D292" s="160"/>
      <c r="E292" s="160"/>
      <c r="F292" s="160"/>
      <c r="G292" s="160"/>
      <c r="H292" s="161"/>
      <c r="I292" s="162"/>
    </row>
    <row r="293" spans="1:9">
      <c r="A293" s="144"/>
      <c r="B293" s="163">
        <v>1</v>
      </c>
      <c r="C293" s="222" t="s">
        <v>501</v>
      </c>
      <c r="D293" s="191"/>
      <c r="E293" s="191"/>
      <c r="F293" s="191"/>
      <c r="G293" s="191"/>
      <c r="H293" s="192"/>
      <c r="I293" s="167">
        <f>6260000</f>
        <v>6260000</v>
      </c>
    </row>
    <row r="294" spans="1:9">
      <c r="A294" s="144"/>
      <c r="B294" s="163">
        <v>2</v>
      </c>
      <c r="C294" s="222" t="s">
        <v>502</v>
      </c>
      <c r="D294" s="191"/>
      <c r="E294" s="191"/>
      <c r="F294" s="191"/>
      <c r="G294" s="191"/>
      <c r="H294" s="192"/>
      <c r="I294" s="167">
        <f>690000</f>
        <v>690000</v>
      </c>
    </row>
    <row r="295" spans="1:9">
      <c r="A295" s="168"/>
      <c r="B295" s="224" t="s">
        <v>58</v>
      </c>
      <c r="C295" s="225"/>
      <c r="D295" s="225"/>
      <c r="E295" s="225"/>
      <c r="F295" s="225"/>
      <c r="G295" s="225"/>
      <c r="H295" s="226"/>
      <c r="I295" s="227">
        <f>SUM(I293:I294)</f>
        <v>6950000</v>
      </c>
    </row>
    <row r="296" spans="1:9">
      <c r="A296" s="145"/>
      <c r="B296" s="145"/>
      <c r="C296" s="145"/>
      <c r="D296" s="145"/>
      <c r="E296" s="145"/>
      <c r="F296" s="145"/>
      <c r="G296" s="145"/>
      <c r="H296" s="145"/>
      <c r="I296" s="145"/>
    </row>
    <row r="297" spans="1:9">
      <c r="A297" s="148" t="s">
        <v>260</v>
      </c>
      <c r="B297" s="149" t="s">
        <v>23</v>
      </c>
      <c r="C297" s="150" t="s">
        <v>24</v>
      </c>
      <c r="D297" s="151"/>
      <c r="E297" s="151"/>
      <c r="F297" s="151"/>
      <c r="G297" s="151"/>
      <c r="H297" s="152"/>
      <c r="I297" s="153" t="s">
        <v>101</v>
      </c>
    </row>
    <row r="298" spans="1:9">
      <c r="A298" s="145"/>
      <c r="B298" s="154"/>
      <c r="C298" s="155"/>
      <c r="D298" s="156"/>
      <c r="E298" s="156"/>
      <c r="F298" s="156"/>
      <c r="G298" s="156"/>
      <c r="H298" s="157"/>
      <c r="I298" s="153" t="s">
        <v>257</v>
      </c>
    </row>
    <row r="299" spans="1:9">
      <c r="A299" s="145"/>
      <c r="B299" s="158"/>
      <c r="C299" s="159" t="s">
        <v>261</v>
      </c>
      <c r="D299" s="160"/>
      <c r="E299" s="160"/>
      <c r="F299" s="160"/>
      <c r="G299" s="160"/>
      <c r="H299" s="161"/>
      <c r="I299" s="173"/>
    </row>
    <row r="300" spans="1:9">
      <c r="A300" s="145"/>
      <c r="B300" s="163">
        <v>1</v>
      </c>
      <c r="C300" s="174" t="s">
        <v>503</v>
      </c>
      <c r="D300" s="175"/>
      <c r="E300" s="175"/>
      <c r="F300" s="175"/>
      <c r="G300" s="175"/>
      <c r="H300" s="175"/>
      <c r="I300" s="173"/>
    </row>
    <row r="301" spans="1:9">
      <c r="A301" s="145"/>
      <c r="B301" s="163"/>
      <c r="C301" s="176" t="s">
        <v>504</v>
      </c>
      <c r="D301" s="177"/>
      <c r="E301" s="177"/>
      <c r="F301" s="177"/>
      <c r="G301" s="177"/>
      <c r="H301" s="177"/>
      <c r="I301" s="173">
        <f>166400</f>
        <v>166400</v>
      </c>
    </row>
    <row r="302" spans="1:9">
      <c r="A302" s="145"/>
      <c r="B302" s="163"/>
      <c r="C302" s="176" t="s">
        <v>505</v>
      </c>
      <c r="D302" s="177"/>
      <c r="E302" s="177"/>
      <c r="F302" s="177"/>
      <c r="G302" s="177"/>
      <c r="H302" s="177"/>
      <c r="I302" s="173">
        <f>341000</f>
        <v>341000</v>
      </c>
    </row>
    <row r="303" spans="1:9">
      <c r="A303" s="145"/>
      <c r="B303" s="163"/>
      <c r="C303" s="176" t="s">
        <v>506</v>
      </c>
      <c r="D303" s="177"/>
      <c r="E303" s="177"/>
      <c r="F303" s="177"/>
      <c r="G303" s="177"/>
      <c r="H303" s="177"/>
      <c r="I303" s="173">
        <f>1180412</f>
        <v>1180412</v>
      </c>
    </row>
    <row r="304" spans="1:9">
      <c r="A304" s="145"/>
      <c r="B304" s="163"/>
      <c r="C304" s="176" t="s">
        <v>507</v>
      </c>
      <c r="D304" s="177"/>
      <c r="E304" s="177"/>
      <c r="F304" s="177"/>
      <c r="G304" s="177"/>
      <c r="H304" s="177"/>
      <c r="I304" s="173">
        <f>1111000</f>
        <v>1111000</v>
      </c>
    </row>
    <row r="305" spans="1:9">
      <c r="A305" s="145"/>
      <c r="B305" s="163">
        <v>2</v>
      </c>
      <c r="C305" s="176" t="s">
        <v>508</v>
      </c>
      <c r="D305" s="177"/>
      <c r="E305" s="177"/>
      <c r="F305" s="177"/>
      <c r="G305" s="177"/>
      <c r="H305" s="177"/>
      <c r="I305" s="173">
        <f>200000</f>
        <v>200000</v>
      </c>
    </row>
    <row r="306" spans="1:9">
      <c r="A306" s="168"/>
      <c r="B306" s="178" t="s">
        <v>58</v>
      </c>
      <c r="C306" s="179"/>
      <c r="D306" s="179"/>
      <c r="E306" s="179"/>
      <c r="F306" s="179"/>
      <c r="G306" s="179"/>
      <c r="H306" s="179"/>
      <c r="I306" s="227">
        <f>SUM(I301:I305)</f>
        <v>2998812</v>
      </c>
    </row>
    <row r="307" spans="1:9">
      <c r="A307" s="144"/>
      <c r="B307" s="144"/>
      <c r="C307" s="144"/>
      <c r="D307" s="144"/>
      <c r="E307" s="144"/>
      <c r="F307" s="144"/>
      <c r="G307" s="144"/>
      <c r="H307" s="144"/>
      <c r="I307" s="144" t="s">
        <v>265</v>
      </c>
    </row>
    <row r="308" spans="1:9">
      <c r="A308" s="144"/>
      <c r="B308" s="144"/>
      <c r="C308" s="144"/>
      <c r="D308" s="180"/>
      <c r="G308" s="180" t="s">
        <v>509</v>
      </c>
      <c r="H308" s="180"/>
    </row>
    <row r="309" spans="1:9">
      <c r="A309" s="144"/>
      <c r="B309" s="144"/>
      <c r="C309" s="180" t="s">
        <v>42</v>
      </c>
      <c r="D309" s="181"/>
      <c r="G309" s="180" t="s">
        <v>267</v>
      </c>
      <c r="H309" s="180"/>
    </row>
    <row r="310" spans="1:9">
      <c r="A310" s="144"/>
      <c r="B310" s="144"/>
      <c r="C310" s="144"/>
      <c r="D310" s="182"/>
      <c r="G310" s="144"/>
      <c r="H310" s="144"/>
    </row>
    <row r="311" spans="1:9">
      <c r="A311" s="144"/>
      <c r="B311" s="183"/>
      <c r="C311" s="184" t="s">
        <v>344</v>
      </c>
      <c r="D311" s="184"/>
      <c r="E311" s="193"/>
      <c r="F311" s="193"/>
      <c r="G311" s="184" t="s">
        <v>344</v>
      </c>
      <c r="H311" s="144"/>
    </row>
    <row r="312" spans="1:9">
      <c r="A312" s="144"/>
      <c r="B312" s="183"/>
      <c r="C312" s="180" t="s">
        <v>268</v>
      </c>
      <c r="D312" s="144"/>
      <c r="G312" s="180" t="s">
        <v>269</v>
      </c>
      <c r="H312" s="185"/>
    </row>
  </sheetData>
  <mergeCells count="63">
    <mergeCell ref="B295:H295"/>
    <mergeCell ref="B297:B298"/>
    <mergeCell ref="C297:H298"/>
    <mergeCell ref="C299:H299"/>
    <mergeCell ref="B306:H306"/>
    <mergeCell ref="A283:C283"/>
    <mergeCell ref="A288:I288"/>
    <mergeCell ref="B289:I289"/>
    <mergeCell ref="B290:B291"/>
    <mergeCell ref="C290:H291"/>
    <mergeCell ref="C292:H292"/>
    <mergeCell ref="A249:I249"/>
    <mergeCell ref="A251:C251"/>
    <mergeCell ref="A252:I252"/>
    <mergeCell ref="A255:C255"/>
    <mergeCell ref="A256:I256"/>
    <mergeCell ref="A282:C282"/>
    <mergeCell ref="A147:I147"/>
    <mergeCell ref="A168:C168"/>
    <mergeCell ref="A169:I169"/>
    <mergeCell ref="A193:C193"/>
    <mergeCell ref="A194:I194"/>
    <mergeCell ref="A248:C248"/>
    <mergeCell ref="A119:I119"/>
    <mergeCell ref="A121:C121"/>
    <mergeCell ref="A122:I122"/>
    <mergeCell ref="A124:C124"/>
    <mergeCell ref="A125:I125"/>
    <mergeCell ref="A146:C146"/>
    <mergeCell ref="A86:I86"/>
    <mergeCell ref="A101:C101"/>
    <mergeCell ref="A102:I102"/>
    <mergeCell ref="A112:C112"/>
    <mergeCell ref="A113:I113"/>
    <mergeCell ref="A118:C118"/>
    <mergeCell ref="D69:E69"/>
    <mergeCell ref="G69:H69"/>
    <mergeCell ref="A71:I71"/>
    <mergeCell ref="A73:C73"/>
    <mergeCell ref="A74:I74"/>
    <mergeCell ref="A85:C85"/>
    <mergeCell ref="E54:F54"/>
    <mergeCell ref="A64:I64"/>
    <mergeCell ref="A65:I65"/>
    <mergeCell ref="A66:I66"/>
    <mergeCell ref="A68:A70"/>
    <mergeCell ref="B68:C70"/>
    <mergeCell ref="D68:E68"/>
    <mergeCell ref="F68:F70"/>
    <mergeCell ref="G68:H68"/>
    <mergeCell ref="I68:I70"/>
    <mergeCell ref="A8:B8"/>
    <mergeCell ref="A9:B9"/>
    <mergeCell ref="A10:B10"/>
    <mergeCell ref="E23:F23"/>
    <mergeCell ref="E51:F51"/>
    <mergeCell ref="E53:F53"/>
    <mergeCell ref="A1:F1"/>
    <mergeCell ref="A2:F2"/>
    <mergeCell ref="A3:F3"/>
    <mergeCell ref="A4:F4"/>
    <mergeCell ref="A5:F5"/>
    <mergeCell ref="E7:F7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4"/>
  <sheetViews>
    <sheetView topLeftCell="A19" workbookViewId="0">
      <selection activeCell="E322" sqref="E322"/>
    </sheetView>
  </sheetViews>
  <sheetFormatPr defaultRowHeight="15"/>
  <cols>
    <col min="1" max="1" width="5.28515625" customWidth="1"/>
    <col min="2" max="2" width="6.85546875" customWidth="1"/>
    <col min="3" max="3" width="34.140625" customWidth="1"/>
    <col min="4" max="6" width="18.7109375" customWidth="1"/>
    <col min="7" max="9" width="15.28515625" customWidth="1"/>
  </cols>
  <sheetData>
    <row r="1" spans="1:6" ht="30">
      <c r="A1" s="208" t="s">
        <v>0</v>
      </c>
      <c r="B1" s="208"/>
      <c r="C1" s="208"/>
      <c r="D1" s="208"/>
      <c r="E1" s="208"/>
      <c r="F1" s="208"/>
    </row>
    <row r="2" spans="1:6" ht="30">
      <c r="A2" s="208" t="s">
        <v>1</v>
      </c>
      <c r="B2" s="208"/>
      <c r="C2" s="208"/>
      <c r="D2" s="208"/>
      <c r="E2" s="208"/>
      <c r="F2" s="208"/>
    </row>
    <row r="3" spans="1:6" ht="30">
      <c r="A3" s="208" t="s">
        <v>2</v>
      </c>
      <c r="B3" s="208"/>
      <c r="C3" s="208"/>
      <c r="D3" s="208"/>
      <c r="E3" s="208"/>
      <c r="F3" s="208"/>
    </row>
    <row r="4" spans="1:6">
      <c r="A4" s="3" t="s">
        <v>3</v>
      </c>
      <c r="B4" s="3"/>
      <c r="C4" s="3"/>
      <c r="D4" s="3"/>
      <c r="E4" s="3"/>
      <c r="F4" s="3"/>
    </row>
    <row r="5" spans="1:6" ht="15.75" thickBot="1">
      <c r="A5" s="209" t="s">
        <v>4</v>
      </c>
      <c r="B5" s="209"/>
      <c r="C5" s="209"/>
      <c r="D5" s="209"/>
      <c r="E5" s="209"/>
      <c r="F5" s="209"/>
    </row>
    <row r="6" spans="1:6" ht="15.75" thickTop="1">
      <c r="A6" s="5"/>
      <c r="B6" s="5"/>
      <c r="C6" s="5"/>
      <c r="D6" s="5"/>
      <c r="E6" s="5"/>
      <c r="F6" s="5"/>
    </row>
    <row r="7" spans="1:6" ht="18.75">
      <c r="A7" s="6"/>
      <c r="B7" s="6"/>
      <c r="C7" s="6"/>
      <c r="D7" s="6"/>
      <c r="E7" s="7" t="s">
        <v>510</v>
      </c>
      <c r="F7" s="7"/>
    </row>
    <row r="8" spans="1:6" ht="18.75">
      <c r="A8" s="8" t="s">
        <v>6</v>
      </c>
      <c r="B8" s="8"/>
      <c r="C8" s="9" t="s">
        <v>511</v>
      </c>
      <c r="D8" s="10"/>
      <c r="E8" s="9"/>
      <c r="F8" s="10"/>
    </row>
    <row r="9" spans="1:6" ht="18.75">
      <c r="A9" s="8" t="s">
        <v>8</v>
      </c>
      <c r="B9" s="8"/>
      <c r="C9" s="9" t="s">
        <v>9</v>
      </c>
      <c r="D9" s="10"/>
      <c r="E9" s="9"/>
      <c r="F9" s="9"/>
    </row>
    <row r="10" spans="1:6" ht="18.75">
      <c r="A10" s="8" t="s">
        <v>10</v>
      </c>
      <c r="B10" s="8"/>
      <c r="C10" s="9" t="s">
        <v>11</v>
      </c>
      <c r="D10" s="10"/>
      <c r="E10" s="9"/>
      <c r="F10" s="9"/>
    </row>
    <row r="11" spans="1:6" ht="18.75">
      <c r="A11" s="9"/>
      <c r="B11" s="9"/>
      <c r="C11" s="9"/>
      <c r="D11" s="9"/>
      <c r="E11" s="9"/>
      <c r="F11" s="9"/>
    </row>
    <row r="12" spans="1:6" ht="18.75">
      <c r="A12" s="9"/>
      <c r="B12" s="9" t="s">
        <v>12</v>
      </c>
      <c r="C12" s="10"/>
      <c r="D12" s="10"/>
      <c r="E12" s="9"/>
      <c r="F12" s="9"/>
    </row>
    <row r="13" spans="1:6" ht="18.75">
      <c r="A13" s="9"/>
      <c r="B13" s="9" t="s">
        <v>13</v>
      </c>
      <c r="C13" s="10"/>
      <c r="D13" s="10"/>
      <c r="E13" s="9"/>
      <c r="F13" s="9"/>
    </row>
    <row r="14" spans="1:6" ht="18.75">
      <c r="A14" s="9"/>
      <c r="B14" s="9" t="s">
        <v>14</v>
      </c>
      <c r="C14" s="10"/>
      <c r="D14" s="10"/>
      <c r="E14" s="9"/>
      <c r="F14" s="9"/>
    </row>
    <row r="15" spans="1:6" ht="18.75">
      <c r="A15" s="9"/>
      <c r="B15" s="9" t="s">
        <v>15</v>
      </c>
      <c r="C15" s="10"/>
      <c r="D15" s="10"/>
      <c r="E15" s="9"/>
      <c r="F15" s="9"/>
    </row>
    <row r="16" spans="1:6" ht="18.75">
      <c r="A16" s="9"/>
      <c r="B16" s="9" t="s">
        <v>16</v>
      </c>
      <c r="C16" s="10"/>
      <c r="D16" s="10"/>
      <c r="E16" s="9"/>
      <c r="F16" s="9"/>
    </row>
    <row r="17" spans="1:6" ht="18.75">
      <c r="A17" s="9"/>
      <c r="B17" s="9" t="s">
        <v>17</v>
      </c>
      <c r="C17" s="9"/>
      <c r="D17" s="10"/>
      <c r="E17" s="9"/>
      <c r="F17" s="9"/>
    </row>
    <row r="18" spans="1:6" ht="18.75">
      <c r="A18" s="9"/>
      <c r="B18" s="9" t="s">
        <v>512</v>
      </c>
      <c r="C18" s="9"/>
      <c r="D18" s="10"/>
      <c r="E18" s="9"/>
      <c r="F18" s="10"/>
    </row>
    <row r="19" spans="1:6" ht="18.75">
      <c r="A19" s="9"/>
      <c r="B19" s="9" t="s">
        <v>18</v>
      </c>
      <c r="C19" s="9"/>
      <c r="D19" s="10"/>
      <c r="E19" s="9"/>
      <c r="F19" s="9"/>
    </row>
    <row r="20" spans="1:6" ht="18.75">
      <c r="A20" s="9"/>
      <c r="B20" s="10"/>
      <c r="C20" s="9"/>
      <c r="D20" s="9"/>
      <c r="E20" s="9"/>
      <c r="F20" s="9"/>
    </row>
    <row r="21" spans="1:6" ht="19.5">
      <c r="A21" s="9"/>
      <c r="C21" s="11" t="s">
        <v>19</v>
      </c>
      <c r="D21" s="12"/>
      <c r="E21" s="9"/>
      <c r="F21" s="10"/>
    </row>
    <row r="22" spans="1:6" ht="18.75">
      <c r="B22" s="13" t="s">
        <v>272</v>
      </c>
      <c r="C22" s="13"/>
      <c r="D22" s="13"/>
      <c r="E22" s="13"/>
      <c r="F22" s="10"/>
    </row>
    <row r="23" spans="1:6" ht="18.75">
      <c r="B23" s="13" t="s">
        <v>513</v>
      </c>
      <c r="C23" s="13"/>
      <c r="D23" s="13"/>
      <c r="E23" s="13"/>
      <c r="F23" s="10"/>
    </row>
    <row r="24" spans="1:6" ht="15.75">
      <c r="A24" s="14"/>
      <c r="B24" s="14"/>
      <c r="C24" s="14"/>
      <c r="D24" s="14"/>
      <c r="E24" s="15" t="s">
        <v>22</v>
      </c>
      <c r="F24" s="15"/>
    </row>
    <row r="25" spans="1:6" ht="18.75">
      <c r="A25" s="14"/>
      <c r="B25" s="16" t="s">
        <v>23</v>
      </c>
      <c r="C25" s="16" t="s">
        <v>24</v>
      </c>
      <c r="D25" s="17" t="s">
        <v>25</v>
      </c>
      <c r="E25" s="17" t="s">
        <v>26</v>
      </c>
      <c r="F25" s="17" t="s">
        <v>27</v>
      </c>
    </row>
    <row r="26" spans="1:6" ht="18.75">
      <c r="A26" s="14"/>
      <c r="B26" s="18"/>
      <c r="C26" s="18"/>
      <c r="D26" s="19"/>
      <c r="E26" s="19"/>
      <c r="F26" s="19"/>
    </row>
    <row r="27" spans="1:6" ht="15.75">
      <c r="A27" s="14"/>
      <c r="B27" s="20">
        <v>1</v>
      </c>
      <c r="C27" s="21" t="s">
        <v>28</v>
      </c>
      <c r="D27" s="22"/>
      <c r="E27" s="22"/>
      <c r="F27" s="23"/>
    </row>
    <row r="28" spans="1:6" ht="15.75">
      <c r="A28" s="14"/>
      <c r="B28" s="20"/>
      <c r="C28" s="21" t="s">
        <v>29</v>
      </c>
      <c r="D28" s="22"/>
      <c r="E28" s="22"/>
      <c r="F28" s="23"/>
    </row>
    <row r="29" spans="1:6" ht="15.75">
      <c r="A29" s="14"/>
      <c r="B29" s="24"/>
      <c r="C29" s="25" t="s">
        <v>514</v>
      </c>
      <c r="D29" s="26"/>
      <c r="E29" s="26"/>
      <c r="F29" s="31">
        <f>[8]JULI!E28</f>
        <v>0</v>
      </c>
    </row>
    <row r="30" spans="1:6" ht="15.75">
      <c r="A30" s="14"/>
      <c r="B30" s="24"/>
      <c r="C30" s="25" t="s">
        <v>515</v>
      </c>
      <c r="D30" s="27">
        <f>161292527</f>
        <v>161292527</v>
      </c>
      <c r="E30" s="28"/>
      <c r="F30" s="26"/>
    </row>
    <row r="31" spans="1:6" ht="15.75">
      <c r="A31" s="14"/>
      <c r="B31" s="24"/>
      <c r="C31" s="25" t="s">
        <v>516</v>
      </c>
      <c r="D31" s="26"/>
      <c r="E31" s="29">
        <f>12420000</f>
        <v>12420000</v>
      </c>
      <c r="F31" s="26"/>
    </row>
    <row r="32" spans="1:6" ht="15.75">
      <c r="A32" s="14"/>
      <c r="B32" s="24"/>
      <c r="C32" s="30" t="s">
        <v>33</v>
      </c>
      <c r="D32" s="26"/>
      <c r="E32" s="29"/>
      <c r="F32" s="31">
        <f>F29+D30-E31</f>
        <v>148872527</v>
      </c>
    </row>
    <row r="33" spans="1:6" ht="15.75">
      <c r="A33" s="14"/>
      <c r="B33" s="20"/>
      <c r="C33" s="32" t="s">
        <v>34</v>
      </c>
      <c r="D33" s="33"/>
      <c r="E33" s="33"/>
      <c r="F33" s="34"/>
    </row>
    <row r="34" spans="1:6" ht="15.75">
      <c r="A34" s="14"/>
      <c r="B34" s="24"/>
      <c r="C34" s="35" t="s">
        <v>514</v>
      </c>
      <c r="D34" s="29"/>
      <c r="E34" s="36"/>
      <c r="F34" s="29">
        <f>[8]JULI!E30</f>
        <v>0</v>
      </c>
    </row>
    <row r="35" spans="1:6" ht="15.75">
      <c r="A35" s="14"/>
      <c r="B35" s="24"/>
      <c r="C35" s="25" t="s">
        <v>515</v>
      </c>
      <c r="D35" s="37">
        <f>0</f>
        <v>0</v>
      </c>
      <c r="E35" s="36"/>
      <c r="F35" s="37"/>
    </row>
    <row r="36" spans="1:6" ht="15.75">
      <c r="A36" s="14"/>
      <c r="B36" s="24"/>
      <c r="C36" s="25" t="s">
        <v>516</v>
      </c>
      <c r="D36" s="29"/>
      <c r="E36" s="36">
        <f>0</f>
        <v>0</v>
      </c>
      <c r="F36" s="37"/>
    </row>
    <row r="37" spans="1:6" ht="15.75">
      <c r="A37" s="14"/>
      <c r="B37" s="24"/>
      <c r="C37" s="30" t="s">
        <v>33</v>
      </c>
      <c r="D37" s="38"/>
      <c r="E37" s="38"/>
      <c r="F37" s="31">
        <f>F34+D35-E36</f>
        <v>0</v>
      </c>
    </row>
    <row r="38" spans="1:6" ht="15.75">
      <c r="A38" s="14"/>
      <c r="B38" s="24"/>
      <c r="C38" s="30" t="s">
        <v>35</v>
      </c>
      <c r="D38" s="31">
        <f>D30+D35</f>
        <v>161292527</v>
      </c>
      <c r="E38" s="39">
        <f>E31+E36</f>
        <v>12420000</v>
      </c>
      <c r="F38" s="40">
        <f>F32+F37</f>
        <v>148872527</v>
      </c>
    </row>
    <row r="39" spans="1:6" ht="15.75">
      <c r="A39" s="14"/>
      <c r="B39" s="20">
        <v>2</v>
      </c>
      <c r="C39" s="32" t="s">
        <v>36</v>
      </c>
      <c r="D39" s="33"/>
      <c r="E39" s="41"/>
      <c r="F39" s="42"/>
    </row>
    <row r="40" spans="1:6" ht="15.75">
      <c r="A40" s="14"/>
      <c r="B40" s="20"/>
      <c r="C40" s="32" t="s">
        <v>29</v>
      </c>
      <c r="D40" s="33"/>
      <c r="E40" s="41"/>
      <c r="F40" s="42"/>
    </row>
    <row r="41" spans="1:6" ht="15.75">
      <c r="A41" s="43"/>
      <c r="B41" s="24"/>
      <c r="C41" s="25" t="s">
        <v>514</v>
      </c>
      <c r="D41" s="26"/>
      <c r="E41" s="44"/>
      <c r="F41" s="39">
        <f>[8]JULI!E40</f>
        <v>0</v>
      </c>
    </row>
    <row r="42" spans="1:6" ht="15.75">
      <c r="A42" s="45"/>
      <c r="B42" s="24"/>
      <c r="C42" s="25" t="s">
        <v>515</v>
      </c>
      <c r="D42" s="46">
        <f>56500814</f>
        <v>56500814</v>
      </c>
      <c r="E42" s="47"/>
      <c r="F42" s="44"/>
    </row>
    <row r="43" spans="1:6" ht="15.75">
      <c r="A43" s="14"/>
      <c r="B43" s="24"/>
      <c r="C43" s="25" t="s">
        <v>516</v>
      </c>
      <c r="D43" s="28"/>
      <c r="E43" s="48">
        <f>42260594</f>
        <v>42260594</v>
      </c>
      <c r="F43" s="44"/>
    </row>
    <row r="44" spans="1:6" ht="15.75">
      <c r="A44" s="14"/>
      <c r="B44" s="20"/>
      <c r="C44" s="49" t="s">
        <v>37</v>
      </c>
      <c r="D44" s="38"/>
      <c r="E44" s="50"/>
      <c r="F44" s="51">
        <f>F41+D42-E43</f>
        <v>14240220</v>
      </c>
    </row>
    <row r="45" spans="1:6" ht="15.75">
      <c r="A45" s="14"/>
      <c r="B45" s="24"/>
      <c r="C45" s="52" t="s">
        <v>517</v>
      </c>
      <c r="D45" s="53">
        <f>D30+D42</f>
        <v>217793341</v>
      </c>
      <c r="E45" s="53">
        <f>E31+E43</f>
        <v>54680594</v>
      </c>
      <c r="F45" s="31">
        <f>F38+F44</f>
        <v>163112747</v>
      </c>
    </row>
    <row r="46" spans="1:6" ht="15.75">
      <c r="B46" s="54" t="s">
        <v>340</v>
      </c>
      <c r="C46" s="54"/>
      <c r="D46" s="54"/>
      <c r="E46" s="54"/>
      <c r="F46" s="54"/>
    </row>
    <row r="47" spans="1:6" ht="18.75">
      <c r="A47" s="55"/>
      <c r="B47" s="201" t="s">
        <v>341</v>
      </c>
      <c r="C47" s="10"/>
      <c r="D47" s="57"/>
      <c r="E47" s="10"/>
      <c r="F47" s="58"/>
    </row>
    <row r="48" spans="1:6" ht="18.75">
      <c r="A48" s="55"/>
      <c r="B48" s="201" t="s">
        <v>342</v>
      </c>
      <c r="C48" s="10"/>
      <c r="D48" s="57"/>
      <c r="E48" s="10"/>
      <c r="F48" s="58"/>
    </row>
    <row r="49" spans="1:9" ht="18.75">
      <c r="A49" s="55"/>
      <c r="B49" s="201" t="s">
        <v>343</v>
      </c>
      <c r="C49" s="10"/>
      <c r="D49" s="57"/>
      <c r="E49" s="10"/>
      <c r="F49" s="58"/>
    </row>
    <row r="50" spans="1:9" ht="18.75">
      <c r="A50" s="14"/>
      <c r="B50" s="59"/>
      <c r="C50" s="60" t="s">
        <v>40</v>
      </c>
      <c r="D50" s="61"/>
      <c r="E50" s="60"/>
      <c r="F50" s="58"/>
    </row>
    <row r="51" spans="1:9" ht="19.5">
      <c r="A51" s="62"/>
      <c r="B51" s="59"/>
      <c r="C51" s="63" t="s">
        <v>41</v>
      </c>
      <c r="D51" s="64"/>
      <c r="E51" s="65"/>
      <c r="F51" s="66"/>
    </row>
    <row r="52" spans="1:9" ht="18.75">
      <c r="A52" s="62"/>
      <c r="B52" s="62"/>
      <c r="C52" s="67" t="s">
        <v>42</v>
      </c>
      <c r="D52" s="10"/>
      <c r="E52" s="68" t="s">
        <v>43</v>
      </c>
      <c r="F52" s="68"/>
    </row>
    <row r="53" spans="1:9" ht="18.75">
      <c r="A53" s="62"/>
      <c r="B53" s="62"/>
      <c r="C53" s="67"/>
      <c r="D53" s="10"/>
      <c r="E53" s="69"/>
      <c r="F53" s="69"/>
    </row>
    <row r="54" spans="1:9" ht="18.75">
      <c r="A54" s="62"/>
      <c r="B54" s="62"/>
      <c r="C54" s="70" t="s">
        <v>344</v>
      </c>
      <c r="D54" s="71"/>
      <c r="E54" s="72" t="s">
        <v>344</v>
      </c>
      <c r="F54" s="72"/>
    </row>
    <row r="55" spans="1:9" ht="18.75">
      <c r="A55" s="62"/>
      <c r="B55" s="62"/>
      <c r="C55" s="73" t="s">
        <v>45</v>
      </c>
      <c r="D55" s="74"/>
      <c r="E55" s="75" t="s">
        <v>46</v>
      </c>
      <c r="F55" s="75"/>
    </row>
    <row r="56" spans="1:9" ht="18.75">
      <c r="A56" s="59"/>
      <c r="B56" s="76" t="s">
        <v>47</v>
      </c>
      <c r="C56" s="9"/>
      <c r="D56" s="77"/>
      <c r="E56" s="62"/>
      <c r="F56" s="62"/>
    </row>
    <row r="57" spans="1:9" ht="18.75">
      <c r="A57" s="59"/>
      <c r="B57" s="9" t="s">
        <v>48</v>
      </c>
      <c r="C57" s="9"/>
      <c r="D57" s="78"/>
      <c r="E57" s="62"/>
      <c r="F57" s="62"/>
    </row>
    <row r="58" spans="1:9" ht="18.75">
      <c r="A58" s="59"/>
      <c r="B58" s="9" t="s">
        <v>49</v>
      </c>
      <c r="C58" s="9"/>
      <c r="D58" s="14"/>
      <c r="E58" s="62"/>
      <c r="F58" s="62"/>
    </row>
    <row r="59" spans="1:9" ht="18.75">
      <c r="A59" s="59"/>
      <c r="B59" s="9" t="s">
        <v>50</v>
      </c>
      <c r="C59" s="9"/>
      <c r="D59" s="14"/>
      <c r="E59" s="62"/>
      <c r="F59" s="62"/>
    </row>
    <row r="60" spans="1:9" ht="18.75">
      <c r="A60" s="59"/>
      <c r="B60" s="9" t="s">
        <v>51</v>
      </c>
      <c r="C60" s="9"/>
      <c r="D60" s="14"/>
      <c r="E60" s="62"/>
      <c r="F60" s="62"/>
    </row>
    <row r="63" spans="1:9" ht="15.75">
      <c r="A63" s="230" t="s">
        <v>52</v>
      </c>
    </row>
    <row r="64" spans="1:9" ht="22.5">
      <c r="A64" s="81" t="s">
        <v>53</v>
      </c>
      <c r="B64" s="81"/>
      <c r="C64" s="81"/>
      <c r="D64" s="81"/>
      <c r="E64" s="81"/>
      <c r="F64" s="81"/>
      <c r="G64" s="81"/>
      <c r="H64" s="81"/>
      <c r="I64" s="81"/>
    </row>
    <row r="65" spans="1:9" ht="22.5">
      <c r="A65" s="81" t="s">
        <v>54</v>
      </c>
      <c r="B65" s="81"/>
      <c r="C65" s="81"/>
      <c r="D65" s="81"/>
      <c r="E65" s="81"/>
      <c r="F65" s="81"/>
      <c r="G65" s="81"/>
      <c r="H65" s="81"/>
      <c r="I65" s="81"/>
    </row>
    <row r="66" spans="1:9" ht="20.25">
      <c r="A66" s="82" t="s">
        <v>518</v>
      </c>
      <c r="B66" s="82"/>
      <c r="C66" s="82"/>
      <c r="D66" s="82"/>
      <c r="E66" s="82"/>
      <c r="F66" s="82"/>
      <c r="G66" s="82"/>
      <c r="H66" s="82"/>
      <c r="I66" s="82"/>
    </row>
    <row r="67" spans="1:9" ht="21" thickBot="1">
      <c r="A67" s="231"/>
      <c r="B67" s="231"/>
      <c r="C67" s="231"/>
      <c r="D67" s="231"/>
      <c r="E67" s="231"/>
      <c r="F67" s="231"/>
      <c r="G67" s="231"/>
      <c r="H67" s="231"/>
      <c r="I67" s="231"/>
    </row>
    <row r="68" spans="1:9" ht="15.75" thickTop="1">
      <c r="A68" s="84" t="s">
        <v>23</v>
      </c>
      <c r="B68" s="85" t="s">
        <v>56</v>
      </c>
      <c r="C68" s="86"/>
      <c r="D68" s="211" t="s">
        <v>57</v>
      </c>
      <c r="E68" s="212"/>
      <c r="F68" s="213" t="s">
        <v>58</v>
      </c>
      <c r="G68" s="211" t="s">
        <v>57</v>
      </c>
      <c r="H68" s="212"/>
      <c r="I68" s="89" t="s">
        <v>58</v>
      </c>
    </row>
    <row r="69" spans="1:9">
      <c r="A69" s="90"/>
      <c r="B69" s="91"/>
      <c r="C69" s="92"/>
      <c r="D69" s="214" t="s">
        <v>497</v>
      </c>
      <c r="E69" s="215"/>
      <c r="F69" s="216"/>
      <c r="G69" s="214" t="s">
        <v>519</v>
      </c>
      <c r="H69" s="215"/>
      <c r="I69" s="95"/>
    </row>
    <row r="70" spans="1:9">
      <c r="A70" s="96"/>
      <c r="B70" s="97"/>
      <c r="C70" s="98"/>
      <c r="D70" s="217" t="s">
        <v>28</v>
      </c>
      <c r="E70" s="217" t="s">
        <v>61</v>
      </c>
      <c r="F70" s="218"/>
      <c r="G70" s="217" t="s">
        <v>28</v>
      </c>
      <c r="H70" s="217" t="s">
        <v>61</v>
      </c>
      <c r="I70" s="100"/>
    </row>
    <row r="71" spans="1:9">
      <c r="A71" s="232" t="s">
        <v>520</v>
      </c>
      <c r="B71" s="233"/>
      <c r="C71" s="233"/>
      <c r="D71" s="233"/>
      <c r="E71" s="233"/>
      <c r="F71" s="233"/>
      <c r="G71" s="233"/>
      <c r="H71" s="233"/>
      <c r="I71" s="234"/>
    </row>
    <row r="72" spans="1:9">
      <c r="A72" s="235">
        <v>1</v>
      </c>
      <c r="B72" s="235">
        <v>1</v>
      </c>
      <c r="C72" s="236" t="s">
        <v>521</v>
      </c>
      <c r="D72" s="106">
        <f>0</f>
        <v>0</v>
      </c>
      <c r="E72" s="107">
        <f>0</f>
        <v>0</v>
      </c>
      <c r="F72" s="106">
        <f>SUM(D72:E72)</f>
        <v>0</v>
      </c>
      <c r="G72" s="106">
        <f>0</f>
        <v>0</v>
      </c>
      <c r="H72" s="107">
        <v>1000000</v>
      </c>
      <c r="I72" s="106">
        <f>SUM(G72:H72)</f>
        <v>1000000</v>
      </c>
    </row>
    <row r="73" spans="1:9">
      <c r="A73" s="235">
        <v>2</v>
      </c>
      <c r="B73" s="235">
        <v>2</v>
      </c>
      <c r="C73" s="236" t="s">
        <v>522</v>
      </c>
      <c r="D73" s="237">
        <f>SUM(D72)</f>
        <v>0</v>
      </c>
      <c r="E73" s="237">
        <f>SUM(E72)</f>
        <v>0</v>
      </c>
      <c r="F73" s="238"/>
      <c r="G73" s="106">
        <f>0</f>
        <v>0</v>
      </c>
      <c r="H73" s="107">
        <f>1500000+5000000</f>
        <v>6500000</v>
      </c>
      <c r="I73" s="106">
        <f>SUM(G73:H73)</f>
        <v>6500000</v>
      </c>
    </row>
    <row r="74" spans="1:9">
      <c r="A74" s="108" t="s">
        <v>58</v>
      </c>
      <c r="B74" s="109"/>
      <c r="C74" s="109"/>
      <c r="D74" s="110">
        <f>D73</f>
        <v>0</v>
      </c>
      <c r="E74" s="111">
        <f>E73</f>
        <v>0</v>
      </c>
      <c r="F74" s="112">
        <f>SUM(D74:E74)</f>
        <v>0</v>
      </c>
      <c r="G74" s="110">
        <f>G73</f>
        <v>0</v>
      </c>
      <c r="H74" s="111">
        <f>SUM(H72:H73)</f>
        <v>7500000</v>
      </c>
      <c r="I74" s="112">
        <f>SUM(G74:H74)</f>
        <v>7500000</v>
      </c>
    </row>
    <row r="75" spans="1:9">
      <c r="A75" s="101" t="s">
        <v>62</v>
      </c>
      <c r="B75" s="102"/>
      <c r="C75" s="102"/>
      <c r="D75" s="102"/>
      <c r="E75" s="102"/>
      <c r="F75" s="102"/>
      <c r="G75" s="102"/>
      <c r="H75" s="102"/>
      <c r="I75" s="103"/>
    </row>
    <row r="76" spans="1:9">
      <c r="A76" s="104">
        <v>3</v>
      </c>
      <c r="B76" s="104">
        <v>1</v>
      </c>
      <c r="C76" s="105" t="s">
        <v>63</v>
      </c>
      <c r="D76" s="106">
        <f>0</f>
        <v>0</v>
      </c>
      <c r="E76" s="107">
        <f>0</f>
        <v>0</v>
      </c>
      <c r="F76" s="106">
        <f>SUM(D76:E76)</f>
        <v>0</v>
      </c>
      <c r="G76" s="106">
        <f>2007300+2007300</f>
        <v>4014600</v>
      </c>
      <c r="H76" s="107">
        <f>0</f>
        <v>0</v>
      </c>
      <c r="I76" s="106">
        <f>SUM(G76:H76)</f>
        <v>4014600</v>
      </c>
    </row>
    <row r="77" spans="1:9">
      <c r="A77" s="108" t="s">
        <v>58</v>
      </c>
      <c r="B77" s="109"/>
      <c r="C77" s="109"/>
      <c r="D77" s="110">
        <f>D76</f>
        <v>0</v>
      </c>
      <c r="E77" s="111">
        <f>E76</f>
        <v>0</v>
      </c>
      <c r="F77" s="112">
        <f>SUM(D77:E77)</f>
        <v>0</v>
      </c>
      <c r="G77" s="110">
        <f>G76</f>
        <v>4014600</v>
      </c>
      <c r="H77" s="111">
        <f>H76</f>
        <v>0</v>
      </c>
      <c r="I77" s="112">
        <f>SUM(G77:H77)</f>
        <v>4014600</v>
      </c>
    </row>
    <row r="78" spans="1:9">
      <c r="A78" s="108" t="s">
        <v>64</v>
      </c>
      <c r="B78" s="109"/>
      <c r="C78" s="109"/>
      <c r="D78" s="109"/>
      <c r="E78" s="109"/>
      <c r="F78" s="109"/>
      <c r="G78" s="109"/>
      <c r="H78" s="109"/>
      <c r="I78" s="113"/>
    </row>
    <row r="79" spans="1:9">
      <c r="A79" s="114">
        <v>4</v>
      </c>
      <c r="B79" s="115">
        <v>1</v>
      </c>
      <c r="C79" s="116" t="s">
        <v>65</v>
      </c>
      <c r="D79" s="106">
        <f>1779400+1757400+1757400+1757400</f>
        <v>7051600</v>
      </c>
      <c r="E79" s="106">
        <f>504000+509000+509000+509000</f>
        <v>2031000</v>
      </c>
      <c r="F79" s="117">
        <f>SUM(D79:E79)</f>
        <v>9082600</v>
      </c>
      <c r="G79" s="106">
        <v>1779500</v>
      </c>
      <c r="H79" s="106">
        <v>504000</v>
      </c>
      <c r="I79" s="117">
        <f>SUM(G79:H79)</f>
        <v>2283500</v>
      </c>
    </row>
    <row r="80" spans="1:9">
      <c r="A80" s="114">
        <v>5</v>
      </c>
      <c r="B80" s="115">
        <v>2</v>
      </c>
      <c r="C80" s="116" t="s">
        <v>66</v>
      </c>
      <c r="D80" s="106">
        <v>959587</v>
      </c>
      <c r="E80" s="106">
        <v>296550</v>
      </c>
      <c r="F80" s="117">
        <f t="shared" ref="F80:F88" si="0">SUM(D80:E80)</f>
        <v>1256137</v>
      </c>
      <c r="G80" s="106">
        <v>959587</v>
      </c>
      <c r="H80" s="106">
        <v>286550</v>
      </c>
      <c r="I80" s="117">
        <f t="shared" ref="I80:I88" si="1">SUM(G80:H80)</f>
        <v>1246137</v>
      </c>
    </row>
    <row r="81" spans="1:9">
      <c r="A81" s="114">
        <v>6</v>
      </c>
      <c r="B81" s="115">
        <v>3</v>
      </c>
      <c r="C81" s="116" t="s">
        <v>67</v>
      </c>
      <c r="D81" s="106">
        <v>2404500</v>
      </c>
      <c r="E81" s="118">
        <v>269300</v>
      </c>
      <c r="F81" s="117">
        <f t="shared" si="0"/>
        <v>2673800</v>
      </c>
      <c r="G81" s="106">
        <v>2539500</v>
      </c>
      <c r="H81" s="118">
        <v>269300</v>
      </c>
      <c r="I81" s="117">
        <f t="shared" si="1"/>
        <v>2808800</v>
      </c>
    </row>
    <row r="82" spans="1:9">
      <c r="A82" s="114">
        <v>7</v>
      </c>
      <c r="B82" s="115">
        <v>4</v>
      </c>
      <c r="C82" s="116" t="s">
        <v>68</v>
      </c>
      <c r="D82" s="106">
        <v>1467063</v>
      </c>
      <c r="E82" s="106">
        <v>44000</v>
      </c>
      <c r="F82" s="117">
        <f t="shared" si="0"/>
        <v>1511063</v>
      </c>
      <c r="G82" s="106">
        <v>1467063</v>
      </c>
      <c r="H82" s="106">
        <v>44000</v>
      </c>
      <c r="I82" s="117">
        <f t="shared" si="1"/>
        <v>1511063</v>
      </c>
    </row>
    <row r="83" spans="1:9">
      <c r="A83" s="114">
        <v>8</v>
      </c>
      <c r="B83" s="115">
        <v>5</v>
      </c>
      <c r="C83" s="116" t="s">
        <v>69</v>
      </c>
      <c r="D83" s="106">
        <v>2114100</v>
      </c>
      <c r="E83" s="106">
        <v>147300</v>
      </c>
      <c r="F83" s="117">
        <f t="shared" si="0"/>
        <v>2261400</v>
      </c>
      <c r="G83" s="106">
        <v>2114100</v>
      </c>
      <c r="H83" s="106">
        <v>147300</v>
      </c>
      <c r="I83" s="117">
        <f t="shared" si="1"/>
        <v>2261400</v>
      </c>
    </row>
    <row r="84" spans="1:9">
      <c r="A84" s="114">
        <v>9</v>
      </c>
      <c r="B84" s="115">
        <v>6</v>
      </c>
      <c r="C84" s="116" t="s">
        <v>426</v>
      </c>
      <c r="D84" s="106">
        <v>3978300</v>
      </c>
      <c r="E84" s="106">
        <f>0</f>
        <v>0</v>
      </c>
      <c r="F84" s="117">
        <f t="shared" si="0"/>
        <v>3978300</v>
      </c>
      <c r="G84" s="106">
        <v>3893450</v>
      </c>
      <c r="H84" s="106"/>
      <c r="I84" s="117">
        <f t="shared" si="1"/>
        <v>3893450</v>
      </c>
    </row>
    <row r="85" spans="1:9">
      <c r="A85" s="114">
        <v>10</v>
      </c>
      <c r="B85" s="115">
        <v>7</v>
      </c>
      <c r="C85" s="116" t="s">
        <v>71</v>
      </c>
      <c r="D85" s="106">
        <v>1507700</v>
      </c>
      <c r="E85" s="106">
        <v>1964500</v>
      </c>
      <c r="F85" s="117">
        <f t="shared" si="0"/>
        <v>3472200</v>
      </c>
      <c r="G85" s="106">
        <v>1507700</v>
      </c>
      <c r="H85" s="106">
        <v>1964500</v>
      </c>
      <c r="I85" s="117">
        <f t="shared" si="1"/>
        <v>3472200</v>
      </c>
    </row>
    <row r="86" spans="1:9">
      <c r="A86" s="114">
        <v>11</v>
      </c>
      <c r="B86" s="115">
        <v>8</v>
      </c>
      <c r="C86" s="116" t="s">
        <v>72</v>
      </c>
      <c r="D86" s="106">
        <v>610000</v>
      </c>
      <c r="E86" s="106">
        <v>870000</v>
      </c>
      <c r="F86" s="117">
        <f t="shared" si="0"/>
        <v>1480000</v>
      </c>
      <c r="G86" s="106"/>
      <c r="H86" s="106"/>
      <c r="I86" s="117">
        <f t="shared" si="1"/>
        <v>0</v>
      </c>
    </row>
    <row r="87" spans="1:9">
      <c r="A87" s="114">
        <v>12</v>
      </c>
      <c r="B87" s="115">
        <v>9</v>
      </c>
      <c r="C87" s="116" t="s">
        <v>73</v>
      </c>
      <c r="D87" s="106">
        <v>1511750</v>
      </c>
      <c r="E87" s="106">
        <v>52000</v>
      </c>
      <c r="F87" s="117">
        <f t="shared" si="0"/>
        <v>1563750</v>
      </c>
      <c r="G87" s="106">
        <v>1526250</v>
      </c>
      <c r="H87" s="106">
        <v>52000</v>
      </c>
      <c r="I87" s="117">
        <f t="shared" si="1"/>
        <v>1578250</v>
      </c>
    </row>
    <row r="88" spans="1:9">
      <c r="A88" s="114">
        <v>13</v>
      </c>
      <c r="B88" s="115">
        <v>10</v>
      </c>
      <c r="C88" s="119" t="s">
        <v>74</v>
      </c>
      <c r="D88" s="106">
        <v>320515</v>
      </c>
      <c r="E88" s="106">
        <v>58000</v>
      </c>
      <c r="F88" s="117">
        <f t="shared" si="0"/>
        <v>378515</v>
      </c>
      <c r="G88" s="106">
        <v>320515</v>
      </c>
      <c r="H88" s="106">
        <v>58000</v>
      </c>
      <c r="I88" s="117">
        <f t="shared" si="1"/>
        <v>378515</v>
      </c>
    </row>
    <row r="89" spans="1:9">
      <c r="A89" s="108" t="s">
        <v>58</v>
      </c>
      <c r="B89" s="109"/>
      <c r="C89" s="109"/>
      <c r="D89" s="110">
        <f>SUM(D79:D88)</f>
        <v>21925115</v>
      </c>
      <c r="E89" s="110">
        <f>SUM(E79:E88)</f>
        <v>5732650</v>
      </c>
      <c r="F89" s="110">
        <f>SUM(D89:E89)</f>
        <v>27657765</v>
      </c>
      <c r="G89" s="110">
        <f>SUM(G79:G88)</f>
        <v>16107665</v>
      </c>
      <c r="H89" s="110">
        <f>SUM(H79:H88)</f>
        <v>3325650</v>
      </c>
      <c r="I89" s="110">
        <f>SUM(G89:H89)</f>
        <v>19433315</v>
      </c>
    </row>
    <row r="90" spans="1:9">
      <c r="A90" s="108" t="s">
        <v>75</v>
      </c>
      <c r="B90" s="109"/>
      <c r="C90" s="109"/>
      <c r="D90" s="109"/>
      <c r="E90" s="109"/>
      <c r="F90" s="109"/>
      <c r="G90" s="109"/>
      <c r="H90" s="109"/>
      <c r="I90" s="113"/>
    </row>
    <row r="91" spans="1:9">
      <c r="A91" s="120">
        <v>14</v>
      </c>
      <c r="B91" s="119">
        <v>1</v>
      </c>
      <c r="C91" s="116" t="s">
        <v>76</v>
      </c>
      <c r="D91" s="106">
        <v>2553078</v>
      </c>
      <c r="E91" s="219">
        <v>1868215</v>
      </c>
      <c r="F91" s="117">
        <f>SUM(D91:E91)</f>
        <v>4421293</v>
      </c>
      <c r="G91" s="106">
        <v>2659068</v>
      </c>
      <c r="H91" s="219">
        <v>1861215</v>
      </c>
      <c r="I91" s="117">
        <f>SUM(G91:H91)</f>
        <v>4520283</v>
      </c>
    </row>
    <row r="92" spans="1:9">
      <c r="A92" s="120">
        <v>15</v>
      </c>
      <c r="B92" s="119">
        <v>2</v>
      </c>
      <c r="C92" s="116" t="s">
        <v>77</v>
      </c>
      <c r="D92" s="106">
        <v>3690286</v>
      </c>
      <c r="E92" s="106">
        <v>5155000</v>
      </c>
      <c r="F92" s="117">
        <f t="shared" ref="F92:F104" si="2">SUM(D92:E92)</f>
        <v>8845286</v>
      </c>
      <c r="G92" s="106">
        <v>3690286</v>
      </c>
      <c r="H92" s="106">
        <v>5155000</v>
      </c>
      <c r="I92" s="117">
        <f t="shared" ref="I92:I104" si="3">SUM(G92:H92)</f>
        <v>8845286</v>
      </c>
    </row>
    <row r="93" spans="1:9">
      <c r="A93" s="120">
        <v>16</v>
      </c>
      <c r="B93" s="119">
        <v>3</v>
      </c>
      <c r="C93" s="116" t="s">
        <v>78</v>
      </c>
      <c r="D93" s="106">
        <v>2845300</v>
      </c>
      <c r="E93" s="106">
        <v>790000</v>
      </c>
      <c r="F93" s="117">
        <f t="shared" si="2"/>
        <v>3635300</v>
      </c>
      <c r="G93" s="106">
        <v>2777300</v>
      </c>
      <c r="H93" s="106">
        <v>788000</v>
      </c>
      <c r="I93" s="117">
        <f t="shared" si="3"/>
        <v>3565300</v>
      </c>
    </row>
    <row r="94" spans="1:9">
      <c r="A94" s="120">
        <v>17</v>
      </c>
      <c r="B94" s="119">
        <v>4</v>
      </c>
      <c r="C94" s="116" t="s">
        <v>79</v>
      </c>
      <c r="D94" s="106">
        <v>966440</v>
      </c>
      <c r="E94" s="106">
        <v>1440392</v>
      </c>
      <c r="F94" s="117">
        <f t="shared" si="2"/>
        <v>2406832</v>
      </c>
      <c r="G94" s="106">
        <v>966440</v>
      </c>
      <c r="H94" s="106">
        <v>1440392</v>
      </c>
      <c r="I94" s="117">
        <f t="shared" si="3"/>
        <v>2406832</v>
      </c>
    </row>
    <row r="95" spans="1:9">
      <c r="A95" s="120">
        <v>18</v>
      </c>
      <c r="B95" s="119">
        <v>5</v>
      </c>
      <c r="C95" s="116" t="s">
        <v>80</v>
      </c>
      <c r="D95" s="106">
        <v>2735200</v>
      </c>
      <c r="E95" s="106">
        <v>100000</v>
      </c>
      <c r="F95" s="117">
        <f t="shared" si="2"/>
        <v>2835200</v>
      </c>
      <c r="G95" s="106">
        <v>2735200</v>
      </c>
      <c r="H95" s="106">
        <v>100000</v>
      </c>
      <c r="I95" s="117">
        <f t="shared" si="3"/>
        <v>2835200</v>
      </c>
    </row>
    <row r="96" spans="1:9">
      <c r="A96" s="120">
        <v>19</v>
      </c>
      <c r="B96" s="119">
        <v>6</v>
      </c>
      <c r="C96" s="116" t="s">
        <v>81</v>
      </c>
      <c r="D96" s="106">
        <v>2089500</v>
      </c>
      <c r="E96" s="106">
        <v>145000</v>
      </c>
      <c r="F96" s="117">
        <f t="shared" si="2"/>
        <v>2234500</v>
      </c>
      <c r="G96" s="106">
        <v>1939500</v>
      </c>
      <c r="H96" s="106">
        <v>145000</v>
      </c>
      <c r="I96" s="117">
        <f t="shared" si="3"/>
        <v>2084500</v>
      </c>
    </row>
    <row r="97" spans="1:9">
      <c r="A97" s="120">
        <v>20</v>
      </c>
      <c r="B97" s="119">
        <v>7</v>
      </c>
      <c r="C97" s="116" t="s">
        <v>82</v>
      </c>
      <c r="D97" s="106">
        <v>4354700</v>
      </c>
      <c r="E97" s="106">
        <v>189700</v>
      </c>
      <c r="F97" s="117">
        <f t="shared" si="2"/>
        <v>4544400</v>
      </c>
      <c r="G97" s="106">
        <v>4360700</v>
      </c>
      <c r="H97" s="106">
        <v>189700</v>
      </c>
      <c r="I97" s="117">
        <f t="shared" si="3"/>
        <v>4550400</v>
      </c>
    </row>
    <row r="98" spans="1:9">
      <c r="A98" s="120">
        <v>21</v>
      </c>
      <c r="B98" s="119">
        <v>8</v>
      </c>
      <c r="C98" s="116" t="s">
        <v>83</v>
      </c>
      <c r="D98" s="106">
        <v>1068028</v>
      </c>
      <c r="E98" s="106">
        <v>865700</v>
      </c>
      <c r="F98" s="117">
        <f t="shared" si="2"/>
        <v>1933728</v>
      </c>
      <c r="G98" s="106">
        <v>1068028</v>
      </c>
      <c r="H98" s="106">
        <v>865700</v>
      </c>
      <c r="I98" s="117">
        <f t="shared" si="3"/>
        <v>1933728</v>
      </c>
    </row>
    <row r="99" spans="1:9">
      <c r="A99" s="120">
        <v>22</v>
      </c>
      <c r="B99" s="119">
        <v>9</v>
      </c>
      <c r="C99" s="116" t="s">
        <v>84</v>
      </c>
      <c r="D99" s="106">
        <f>0</f>
        <v>0</v>
      </c>
      <c r="E99" s="106">
        <f>0</f>
        <v>0</v>
      </c>
      <c r="F99" s="117">
        <f t="shared" si="2"/>
        <v>0</v>
      </c>
      <c r="G99" s="106">
        <f>748000+748000</f>
        <v>1496000</v>
      </c>
      <c r="H99" s="106">
        <f>162000+162000</f>
        <v>324000</v>
      </c>
      <c r="I99" s="117">
        <f t="shared" si="3"/>
        <v>1820000</v>
      </c>
    </row>
    <row r="100" spans="1:9">
      <c r="A100" s="120">
        <v>23</v>
      </c>
      <c r="B100" s="119">
        <v>10</v>
      </c>
      <c r="C100" s="116" t="s">
        <v>85</v>
      </c>
      <c r="D100" s="106">
        <v>3013114</v>
      </c>
      <c r="E100" s="106">
        <v>58000</v>
      </c>
      <c r="F100" s="117">
        <f t="shared" si="2"/>
        <v>3071114</v>
      </c>
      <c r="G100" s="106">
        <v>3013114</v>
      </c>
      <c r="H100" s="106">
        <v>58000</v>
      </c>
      <c r="I100" s="117">
        <f t="shared" si="3"/>
        <v>3071114</v>
      </c>
    </row>
    <row r="101" spans="1:9">
      <c r="A101" s="120">
        <v>24</v>
      </c>
      <c r="B101" s="119">
        <v>11</v>
      </c>
      <c r="C101" s="116" t="s">
        <v>427</v>
      </c>
      <c r="D101" s="106">
        <v>2801396</v>
      </c>
      <c r="E101" s="106">
        <v>1370000</v>
      </c>
      <c r="F101" s="117">
        <f t="shared" si="2"/>
        <v>4171396</v>
      </c>
      <c r="G101" s="106">
        <v>2803021</v>
      </c>
      <c r="H101" s="106">
        <v>1360000</v>
      </c>
      <c r="I101" s="117">
        <f t="shared" si="3"/>
        <v>4163021</v>
      </c>
    </row>
    <row r="102" spans="1:9">
      <c r="A102" s="120">
        <v>25</v>
      </c>
      <c r="B102" s="119">
        <v>12</v>
      </c>
      <c r="C102" s="116" t="s">
        <v>87</v>
      </c>
      <c r="D102" s="106">
        <v>1572800</v>
      </c>
      <c r="E102" s="106">
        <v>464192</v>
      </c>
      <c r="F102" s="117">
        <f t="shared" si="2"/>
        <v>2036992</v>
      </c>
      <c r="G102" s="106">
        <v>1572800</v>
      </c>
      <c r="H102" s="106">
        <v>464192</v>
      </c>
      <c r="I102" s="117">
        <f t="shared" si="3"/>
        <v>2036992</v>
      </c>
    </row>
    <row r="103" spans="1:9">
      <c r="A103" s="120">
        <v>26</v>
      </c>
      <c r="B103" s="119">
        <v>13</v>
      </c>
      <c r="C103" s="116" t="s">
        <v>88</v>
      </c>
      <c r="D103" s="106">
        <v>1723000</v>
      </c>
      <c r="E103" s="219">
        <v>665000</v>
      </c>
      <c r="F103" s="117">
        <f t="shared" si="2"/>
        <v>2388000</v>
      </c>
      <c r="G103" s="106">
        <v>1685000</v>
      </c>
      <c r="H103" s="219">
        <v>640000</v>
      </c>
      <c r="I103" s="117">
        <f t="shared" si="3"/>
        <v>2325000</v>
      </c>
    </row>
    <row r="104" spans="1:9">
      <c r="A104" s="120">
        <v>27</v>
      </c>
      <c r="B104" s="119">
        <v>14</v>
      </c>
      <c r="C104" s="116" t="s">
        <v>89</v>
      </c>
      <c r="D104" s="106">
        <f>0</f>
        <v>0</v>
      </c>
      <c r="E104" s="106">
        <f>0</f>
        <v>0</v>
      </c>
      <c r="F104" s="117">
        <f t="shared" si="2"/>
        <v>0</v>
      </c>
      <c r="G104" s="106">
        <v>364390</v>
      </c>
      <c r="H104" s="106">
        <v>543000</v>
      </c>
      <c r="I104" s="117">
        <f t="shared" si="3"/>
        <v>907390</v>
      </c>
    </row>
    <row r="105" spans="1:9">
      <c r="A105" s="108" t="s">
        <v>58</v>
      </c>
      <c r="B105" s="109"/>
      <c r="C105" s="109"/>
      <c r="D105" s="110">
        <f>SUM(D91:D104)</f>
        <v>29412842</v>
      </c>
      <c r="E105" s="110">
        <f>SUM(E91:E104)</f>
        <v>13111199</v>
      </c>
      <c r="F105" s="110">
        <f>SUM(D105:E105)</f>
        <v>42524041</v>
      </c>
      <c r="G105" s="110">
        <f>SUM(G91:G104)</f>
        <v>31130847</v>
      </c>
      <c r="H105" s="110">
        <f>SUM(H91:H104)</f>
        <v>13934199</v>
      </c>
      <c r="I105" s="110">
        <f>SUM(G105:H105)</f>
        <v>45065046</v>
      </c>
    </row>
    <row r="106" spans="1:9">
      <c r="A106" s="108" t="s">
        <v>90</v>
      </c>
      <c r="B106" s="109"/>
      <c r="C106" s="109"/>
      <c r="D106" s="109"/>
      <c r="E106" s="109"/>
      <c r="F106" s="109"/>
      <c r="G106" s="109"/>
      <c r="H106" s="109"/>
      <c r="I106" s="113"/>
    </row>
    <row r="107" spans="1:9">
      <c r="A107" s="119">
        <v>28</v>
      </c>
      <c r="B107" s="119">
        <v>1</v>
      </c>
      <c r="C107" s="116" t="s">
        <v>91</v>
      </c>
      <c r="D107" s="106">
        <v>350000</v>
      </c>
      <c r="E107" s="106">
        <v>305000</v>
      </c>
      <c r="F107" s="117">
        <f>SUM(D107:E107)</f>
        <v>655000</v>
      </c>
      <c r="G107" s="106">
        <v>350000</v>
      </c>
      <c r="H107" s="106">
        <v>305000</v>
      </c>
      <c r="I107" s="117">
        <f>SUM(G107:H107)</f>
        <v>655000</v>
      </c>
    </row>
    <row r="108" spans="1:9">
      <c r="A108" s="119">
        <v>29</v>
      </c>
      <c r="B108" s="119">
        <v>2</v>
      </c>
      <c r="C108" s="121" t="s">
        <v>92</v>
      </c>
      <c r="D108" s="106">
        <f>0</f>
        <v>0</v>
      </c>
      <c r="E108" s="106">
        <f>0</f>
        <v>0</v>
      </c>
      <c r="F108" s="117">
        <f t="shared" ref="F108:F115" si="4">SUM(D108:E108)</f>
        <v>0</v>
      </c>
      <c r="G108" s="106">
        <f>0</f>
        <v>0</v>
      </c>
      <c r="H108" s="106">
        <f>0</f>
        <v>0</v>
      </c>
      <c r="I108" s="117">
        <f t="shared" ref="I108:I115" si="5">SUM(G108:H108)</f>
        <v>0</v>
      </c>
    </row>
    <row r="109" spans="1:9">
      <c r="A109" s="119">
        <v>30</v>
      </c>
      <c r="B109" s="119">
        <v>3</v>
      </c>
      <c r="C109" s="121" t="s">
        <v>93</v>
      </c>
      <c r="D109" s="106">
        <f>0</f>
        <v>0</v>
      </c>
      <c r="E109" s="106">
        <f>0</f>
        <v>0</v>
      </c>
      <c r="F109" s="117">
        <f t="shared" si="4"/>
        <v>0</v>
      </c>
      <c r="G109" s="106">
        <f>0</f>
        <v>0</v>
      </c>
      <c r="H109" s="106">
        <f>0</f>
        <v>0</v>
      </c>
      <c r="I109" s="117">
        <f t="shared" si="5"/>
        <v>0</v>
      </c>
    </row>
    <row r="110" spans="1:9">
      <c r="A110" s="119">
        <v>31</v>
      </c>
      <c r="B110" s="119">
        <v>4</v>
      </c>
      <c r="C110" s="121" t="s">
        <v>94</v>
      </c>
      <c r="D110" s="106">
        <v>256000</v>
      </c>
      <c r="E110" s="106">
        <v>185000</v>
      </c>
      <c r="F110" s="117">
        <f t="shared" si="4"/>
        <v>441000</v>
      </c>
      <c r="G110" s="106">
        <v>256000</v>
      </c>
      <c r="H110" s="106">
        <v>185000</v>
      </c>
      <c r="I110" s="117">
        <f t="shared" si="5"/>
        <v>441000</v>
      </c>
    </row>
    <row r="111" spans="1:9">
      <c r="A111" s="119">
        <v>32</v>
      </c>
      <c r="B111" s="119">
        <v>5</v>
      </c>
      <c r="C111" s="121" t="s">
        <v>95</v>
      </c>
      <c r="D111" s="106">
        <f>148000+264000</f>
        <v>412000</v>
      </c>
      <c r="E111" s="106">
        <v>260000</v>
      </c>
      <c r="F111" s="117">
        <f t="shared" si="4"/>
        <v>672000</v>
      </c>
      <c r="G111" s="106">
        <v>148000</v>
      </c>
      <c r="H111" s="106">
        <v>260000</v>
      </c>
      <c r="I111" s="117">
        <f t="shared" si="5"/>
        <v>408000</v>
      </c>
    </row>
    <row r="112" spans="1:9">
      <c r="A112" s="119">
        <v>33</v>
      </c>
      <c r="B112" s="119">
        <v>6</v>
      </c>
      <c r="C112" s="121" t="s">
        <v>96</v>
      </c>
      <c r="D112" s="106">
        <v>437500</v>
      </c>
      <c r="E112" s="106">
        <v>42000</v>
      </c>
      <c r="F112" s="117">
        <f t="shared" si="4"/>
        <v>479500</v>
      </c>
      <c r="G112" s="106">
        <v>437500</v>
      </c>
      <c r="H112" s="106">
        <v>42000</v>
      </c>
      <c r="I112" s="117">
        <f t="shared" si="5"/>
        <v>479500</v>
      </c>
    </row>
    <row r="113" spans="1:9">
      <c r="A113" s="119">
        <v>34</v>
      </c>
      <c r="B113" s="119">
        <v>7</v>
      </c>
      <c r="C113" s="121" t="s">
        <v>97</v>
      </c>
      <c r="D113" s="106">
        <v>687800</v>
      </c>
      <c r="E113" s="106">
        <v>321500</v>
      </c>
      <c r="F113" s="117">
        <f t="shared" si="4"/>
        <v>1009300</v>
      </c>
      <c r="G113" s="106">
        <v>777400</v>
      </c>
      <c r="H113" s="106">
        <v>311500</v>
      </c>
      <c r="I113" s="117">
        <f t="shared" si="5"/>
        <v>1088900</v>
      </c>
    </row>
    <row r="114" spans="1:9">
      <c r="A114" s="119">
        <v>35</v>
      </c>
      <c r="B114" s="119">
        <v>8</v>
      </c>
      <c r="C114" s="121" t="s">
        <v>98</v>
      </c>
      <c r="D114" s="106">
        <v>460400</v>
      </c>
      <c r="E114" s="106">
        <v>90000</v>
      </c>
      <c r="F114" s="117">
        <f t="shared" si="4"/>
        <v>550400</v>
      </c>
      <c r="G114" s="106">
        <v>460400</v>
      </c>
      <c r="H114" s="106">
        <v>90000</v>
      </c>
      <c r="I114" s="117">
        <f t="shared" si="5"/>
        <v>550400</v>
      </c>
    </row>
    <row r="115" spans="1:9">
      <c r="A115" s="119">
        <v>36</v>
      </c>
      <c r="B115" s="119">
        <v>9</v>
      </c>
      <c r="C115" s="122" t="s">
        <v>99</v>
      </c>
      <c r="D115" s="106">
        <v>520400</v>
      </c>
      <c r="E115" s="106">
        <v>263000</v>
      </c>
      <c r="F115" s="117">
        <f t="shared" si="4"/>
        <v>783400</v>
      </c>
      <c r="G115" s="106">
        <v>887250</v>
      </c>
      <c r="H115" s="106">
        <v>303000</v>
      </c>
      <c r="I115" s="117">
        <f t="shared" si="5"/>
        <v>1190250</v>
      </c>
    </row>
    <row r="116" spans="1:9">
      <c r="A116" s="108" t="s">
        <v>101</v>
      </c>
      <c r="B116" s="109"/>
      <c r="C116" s="123"/>
      <c r="D116" s="110">
        <f>SUM(D107:D115)</f>
        <v>3124100</v>
      </c>
      <c r="E116" s="110">
        <f>SUM(E107:E115)</f>
        <v>1466500</v>
      </c>
      <c r="F116" s="110">
        <f>SUM(D116:E116)</f>
        <v>4590600</v>
      </c>
      <c r="G116" s="110">
        <f>SUM(G107:G115)</f>
        <v>3316550</v>
      </c>
      <c r="H116" s="110">
        <f>SUM(H107:H115)</f>
        <v>1496500</v>
      </c>
      <c r="I116" s="110">
        <f>SUM(G116:H116)</f>
        <v>4813050</v>
      </c>
    </row>
    <row r="117" spans="1:9">
      <c r="A117" s="108" t="s">
        <v>102</v>
      </c>
      <c r="B117" s="109"/>
      <c r="C117" s="109"/>
      <c r="D117" s="109"/>
      <c r="E117" s="109"/>
      <c r="F117" s="109"/>
      <c r="G117" s="109"/>
      <c r="H117" s="109"/>
      <c r="I117" s="113"/>
    </row>
    <row r="118" spans="1:9">
      <c r="A118" s="119">
        <v>37</v>
      </c>
      <c r="B118" s="119">
        <v>1</v>
      </c>
      <c r="C118" s="116" t="s">
        <v>103</v>
      </c>
      <c r="D118" s="106">
        <v>100000</v>
      </c>
      <c r="E118" s="106">
        <v>60000</v>
      </c>
      <c r="F118" s="117">
        <f>SUM(D118:E118)</f>
        <v>160000</v>
      </c>
      <c r="G118" s="106">
        <v>100000</v>
      </c>
      <c r="H118" s="106">
        <v>55000</v>
      </c>
      <c r="I118" s="117">
        <f>SUM(G118:H118)</f>
        <v>155000</v>
      </c>
    </row>
    <row r="119" spans="1:9">
      <c r="A119" s="119">
        <v>38</v>
      </c>
      <c r="B119" s="119">
        <v>2</v>
      </c>
      <c r="C119" s="116" t="s">
        <v>104</v>
      </c>
      <c r="D119" s="106">
        <f>0</f>
        <v>0</v>
      </c>
      <c r="E119" s="106">
        <f>0</f>
        <v>0</v>
      </c>
      <c r="F119" s="117">
        <f>SUM(D119:E119)</f>
        <v>0</v>
      </c>
      <c r="G119" s="106">
        <f>0</f>
        <v>0</v>
      </c>
      <c r="H119" s="106">
        <f>0</f>
        <v>0</v>
      </c>
      <c r="I119" s="117">
        <f>SUM(G119:H119)</f>
        <v>0</v>
      </c>
    </row>
    <row r="120" spans="1:9">
      <c r="A120" s="119">
        <v>39</v>
      </c>
      <c r="B120" s="119">
        <v>3</v>
      </c>
      <c r="C120" s="116" t="s">
        <v>105</v>
      </c>
      <c r="D120" s="106">
        <v>1378000</v>
      </c>
      <c r="E120" s="106">
        <f>0</f>
        <v>0</v>
      </c>
      <c r="F120" s="117">
        <f>SUM(D120:E120)</f>
        <v>1378000</v>
      </c>
      <c r="G120" s="106">
        <v>1378000</v>
      </c>
      <c r="H120" s="106">
        <f>0</f>
        <v>0</v>
      </c>
      <c r="I120" s="117">
        <f>SUM(G120:H120)</f>
        <v>1378000</v>
      </c>
    </row>
    <row r="121" spans="1:9">
      <c r="A121" s="119">
        <v>40</v>
      </c>
      <c r="B121" s="119">
        <v>5</v>
      </c>
      <c r="C121" s="116" t="s">
        <v>106</v>
      </c>
      <c r="D121" s="106">
        <v>382700</v>
      </c>
      <c r="E121" s="106">
        <v>100000</v>
      </c>
      <c r="F121" s="117">
        <f>SUM(D121:E121)</f>
        <v>482700</v>
      </c>
      <c r="G121" s="106">
        <v>382700</v>
      </c>
      <c r="H121" s="106">
        <v>100000</v>
      </c>
      <c r="I121" s="117">
        <f>SUM(G121:H121)</f>
        <v>482700</v>
      </c>
    </row>
    <row r="122" spans="1:9">
      <c r="A122" s="108" t="s">
        <v>58</v>
      </c>
      <c r="B122" s="109"/>
      <c r="C122" s="109"/>
      <c r="D122" s="110">
        <f>SUM(D118:D121)</f>
        <v>1860700</v>
      </c>
      <c r="E122" s="110">
        <f>SUM(E118:E121)</f>
        <v>160000</v>
      </c>
      <c r="F122" s="110">
        <f>SUM(D122:E122)</f>
        <v>2020700</v>
      </c>
      <c r="G122" s="110">
        <f>SUM(G118:G121)</f>
        <v>1860700</v>
      </c>
      <c r="H122" s="110">
        <f>SUM(H118:H121)</f>
        <v>155000</v>
      </c>
      <c r="I122" s="110">
        <f>SUM(G122:H122)</f>
        <v>2015700</v>
      </c>
    </row>
    <row r="123" spans="1:9">
      <c r="A123" s="108" t="s">
        <v>107</v>
      </c>
      <c r="B123" s="109"/>
      <c r="C123" s="109"/>
      <c r="D123" s="109"/>
      <c r="E123" s="109"/>
      <c r="F123" s="109"/>
      <c r="G123" s="109"/>
      <c r="H123" s="109"/>
      <c r="I123" s="113"/>
    </row>
    <row r="124" spans="1:9">
      <c r="A124" s="119">
        <v>41</v>
      </c>
      <c r="B124" s="119">
        <v>1</v>
      </c>
      <c r="C124" s="119" t="s">
        <v>108</v>
      </c>
      <c r="D124" s="106">
        <v>500000</v>
      </c>
      <c r="E124" s="106">
        <v>100000</v>
      </c>
      <c r="F124" s="117">
        <f>SUM(D124:E124)</f>
        <v>600000</v>
      </c>
      <c r="G124" s="106">
        <v>500000</v>
      </c>
      <c r="H124" s="106">
        <v>100000</v>
      </c>
      <c r="I124" s="117">
        <f>SUM(G124:H124)</f>
        <v>600000</v>
      </c>
    </row>
    <row r="125" spans="1:9">
      <c r="A125" s="108" t="s">
        <v>101</v>
      </c>
      <c r="B125" s="109"/>
      <c r="C125" s="109"/>
      <c r="D125" s="110">
        <f>D124</f>
        <v>500000</v>
      </c>
      <c r="E125" s="110">
        <f>E124</f>
        <v>100000</v>
      </c>
      <c r="F125" s="110">
        <f>SUM(D125:E125)</f>
        <v>600000</v>
      </c>
      <c r="G125" s="110">
        <f>G124</f>
        <v>500000</v>
      </c>
      <c r="H125" s="110">
        <f>H124</f>
        <v>100000</v>
      </c>
      <c r="I125" s="110">
        <f>SUM(G125:H125)</f>
        <v>600000</v>
      </c>
    </row>
    <row r="126" spans="1:9">
      <c r="A126" s="108" t="s">
        <v>109</v>
      </c>
      <c r="B126" s="109"/>
      <c r="C126" s="109"/>
      <c r="D126" s="109"/>
      <c r="E126" s="109"/>
      <c r="F126" s="109"/>
      <c r="G126" s="109"/>
      <c r="H126" s="109"/>
      <c r="I126" s="113"/>
    </row>
    <row r="127" spans="1:9">
      <c r="A127" s="119">
        <v>42</v>
      </c>
      <c r="B127" s="119">
        <v>1</v>
      </c>
      <c r="C127" s="121" t="s">
        <v>110</v>
      </c>
      <c r="D127" s="106">
        <v>1724427</v>
      </c>
      <c r="E127" s="106">
        <v>510650</v>
      </c>
      <c r="F127" s="117">
        <f>SUM(D127:E127)</f>
        <v>2235077</v>
      </c>
      <c r="G127" s="106">
        <v>1724427</v>
      </c>
      <c r="H127" s="106">
        <v>510650</v>
      </c>
      <c r="I127" s="117">
        <f>SUM(G127:H127)</f>
        <v>2235077</v>
      </c>
    </row>
    <row r="128" spans="1:9">
      <c r="A128" s="108" t="s">
        <v>101</v>
      </c>
      <c r="B128" s="109"/>
      <c r="C128" s="109"/>
      <c r="D128" s="110">
        <f>D127</f>
        <v>1724427</v>
      </c>
      <c r="E128" s="110">
        <f>E127</f>
        <v>510650</v>
      </c>
      <c r="F128" s="110">
        <f>SUM(D128:E128)</f>
        <v>2235077</v>
      </c>
      <c r="G128" s="110">
        <f>G127</f>
        <v>1724427</v>
      </c>
      <c r="H128" s="110">
        <f>H127</f>
        <v>510650</v>
      </c>
      <c r="I128" s="110">
        <f>SUM(G128:H128)</f>
        <v>2235077</v>
      </c>
    </row>
    <row r="129" spans="1:9">
      <c r="A129" s="108" t="s">
        <v>111</v>
      </c>
      <c r="B129" s="109"/>
      <c r="C129" s="109"/>
      <c r="D129" s="109"/>
      <c r="E129" s="109"/>
      <c r="F129" s="109"/>
      <c r="G129" s="109"/>
      <c r="H129" s="109"/>
      <c r="I129" s="113"/>
    </row>
    <row r="130" spans="1:9">
      <c r="A130" s="119">
        <v>43</v>
      </c>
      <c r="B130" s="119">
        <v>1</v>
      </c>
      <c r="C130" s="121" t="s">
        <v>112</v>
      </c>
      <c r="D130" s="106">
        <v>1644500</v>
      </c>
      <c r="E130" s="106">
        <v>649500</v>
      </c>
      <c r="F130" s="117">
        <f>SUM(D130:E130)</f>
        <v>2294000</v>
      </c>
      <c r="G130" s="106">
        <v>1644500</v>
      </c>
      <c r="H130" s="106">
        <v>649500</v>
      </c>
      <c r="I130" s="117">
        <f>SUM(G130:H130)</f>
        <v>2294000</v>
      </c>
    </row>
    <row r="131" spans="1:9">
      <c r="A131" s="119">
        <v>44</v>
      </c>
      <c r="B131" s="119">
        <v>2</v>
      </c>
      <c r="C131" s="121" t="s">
        <v>113</v>
      </c>
      <c r="D131" s="106">
        <f>0</f>
        <v>0</v>
      </c>
      <c r="E131" s="106">
        <f>0</f>
        <v>0</v>
      </c>
      <c r="F131" s="117">
        <f t="shared" ref="F131:F142" si="6">SUM(D131:E131)</f>
        <v>0</v>
      </c>
      <c r="G131" s="106">
        <f>0</f>
        <v>0</v>
      </c>
      <c r="H131" s="106">
        <v>660000</v>
      </c>
      <c r="I131" s="117">
        <f t="shared" ref="I131:I149" si="7">SUM(G131:H131)</f>
        <v>660000</v>
      </c>
    </row>
    <row r="132" spans="1:9">
      <c r="A132" s="119">
        <v>45</v>
      </c>
      <c r="B132" s="119">
        <v>3</v>
      </c>
      <c r="C132" s="125" t="s">
        <v>114</v>
      </c>
      <c r="D132" s="106">
        <v>1643000</v>
      </c>
      <c r="E132" s="106">
        <f>0</f>
        <v>0</v>
      </c>
      <c r="F132" s="117">
        <f t="shared" si="6"/>
        <v>1643000</v>
      </c>
      <c r="G132" s="106">
        <v>1643000</v>
      </c>
      <c r="H132" s="106">
        <f>0</f>
        <v>0</v>
      </c>
      <c r="I132" s="117">
        <f t="shared" si="7"/>
        <v>1643000</v>
      </c>
    </row>
    <row r="133" spans="1:9">
      <c r="A133" s="119">
        <v>46</v>
      </c>
      <c r="B133" s="124">
        <v>4</v>
      </c>
      <c r="C133" s="125" t="s">
        <v>115</v>
      </c>
      <c r="D133" s="106">
        <f>0</f>
        <v>0</v>
      </c>
      <c r="E133" s="106">
        <v>224000</v>
      </c>
      <c r="F133" s="117">
        <f t="shared" si="6"/>
        <v>224000</v>
      </c>
      <c r="G133" s="106">
        <f>0</f>
        <v>0</v>
      </c>
      <c r="H133" s="106"/>
      <c r="I133" s="117">
        <f t="shared" si="7"/>
        <v>0</v>
      </c>
    </row>
    <row r="134" spans="1:9">
      <c r="A134" s="119">
        <v>47</v>
      </c>
      <c r="B134" s="119">
        <v>5</v>
      </c>
      <c r="C134" s="125" t="s">
        <v>116</v>
      </c>
      <c r="D134" s="106">
        <v>505700</v>
      </c>
      <c r="E134" s="106">
        <v>146000</v>
      </c>
      <c r="F134" s="117">
        <f t="shared" si="6"/>
        <v>651700</v>
      </c>
      <c r="G134" s="106">
        <v>505700</v>
      </c>
      <c r="H134" s="106">
        <v>146000</v>
      </c>
      <c r="I134" s="117">
        <f t="shared" si="7"/>
        <v>651700</v>
      </c>
    </row>
    <row r="135" spans="1:9">
      <c r="A135" s="119">
        <v>48</v>
      </c>
      <c r="B135" s="119">
        <v>6</v>
      </c>
      <c r="C135" s="125" t="s">
        <v>117</v>
      </c>
      <c r="D135" s="106">
        <v>801817</v>
      </c>
      <c r="E135" s="106">
        <v>135000</v>
      </c>
      <c r="F135" s="117">
        <f t="shared" si="6"/>
        <v>936817</v>
      </c>
      <c r="G135" s="106">
        <v>801817</v>
      </c>
      <c r="H135" s="106">
        <v>135000</v>
      </c>
      <c r="I135" s="117">
        <f t="shared" si="7"/>
        <v>936817</v>
      </c>
    </row>
    <row r="136" spans="1:9">
      <c r="A136" s="119">
        <v>49</v>
      </c>
      <c r="B136" s="119">
        <v>7</v>
      </c>
      <c r="C136" s="125" t="s">
        <v>118</v>
      </c>
      <c r="D136" s="106">
        <v>724000</v>
      </c>
      <c r="E136" s="106">
        <v>150000</v>
      </c>
      <c r="F136" s="117">
        <f t="shared" si="6"/>
        <v>874000</v>
      </c>
      <c r="G136" s="106">
        <v>724000</v>
      </c>
      <c r="H136" s="106">
        <v>150000</v>
      </c>
      <c r="I136" s="117">
        <f t="shared" si="7"/>
        <v>874000</v>
      </c>
    </row>
    <row r="137" spans="1:9">
      <c r="A137" s="119">
        <v>50</v>
      </c>
      <c r="B137" s="119">
        <v>8</v>
      </c>
      <c r="C137" s="121" t="s">
        <v>119</v>
      </c>
      <c r="D137" s="106">
        <v>615000</v>
      </c>
      <c r="E137" s="106">
        <v>100000</v>
      </c>
      <c r="F137" s="117">
        <f t="shared" si="6"/>
        <v>715000</v>
      </c>
      <c r="G137" s="106">
        <v>615000</v>
      </c>
      <c r="H137" s="106">
        <v>100000</v>
      </c>
      <c r="I137" s="117">
        <f t="shared" si="7"/>
        <v>715000</v>
      </c>
    </row>
    <row r="138" spans="1:9">
      <c r="A138" s="119">
        <v>51</v>
      </c>
      <c r="B138" s="119">
        <v>9</v>
      </c>
      <c r="C138" s="121" t="s">
        <v>120</v>
      </c>
      <c r="D138" s="106">
        <v>337000</v>
      </c>
      <c r="E138" s="106">
        <v>505000</v>
      </c>
      <c r="F138" s="117">
        <f t="shared" si="6"/>
        <v>842000</v>
      </c>
      <c r="G138" s="106">
        <f>554000+554000</f>
        <v>1108000</v>
      </c>
      <c r="H138" s="106">
        <f>220000+220000</f>
        <v>440000</v>
      </c>
      <c r="I138" s="117">
        <f t="shared" si="7"/>
        <v>1548000</v>
      </c>
    </row>
    <row r="139" spans="1:9">
      <c r="A139" s="119">
        <v>52</v>
      </c>
      <c r="B139" s="119">
        <v>10</v>
      </c>
      <c r="C139" s="121" t="s">
        <v>121</v>
      </c>
      <c r="D139" s="106">
        <f>0</f>
        <v>0</v>
      </c>
      <c r="E139" s="106">
        <v>578335</v>
      </c>
      <c r="F139" s="117">
        <f t="shared" si="6"/>
        <v>578335</v>
      </c>
      <c r="G139" s="106"/>
      <c r="H139" s="106">
        <v>578335</v>
      </c>
      <c r="I139" s="117">
        <f t="shared" si="7"/>
        <v>578335</v>
      </c>
    </row>
    <row r="140" spans="1:9">
      <c r="A140" s="119">
        <v>53</v>
      </c>
      <c r="B140" s="119">
        <v>11</v>
      </c>
      <c r="C140" s="121" t="s">
        <v>122</v>
      </c>
      <c r="D140" s="106">
        <f>0</f>
        <v>0</v>
      </c>
      <c r="E140" s="106">
        <f>0</f>
        <v>0</v>
      </c>
      <c r="F140" s="117">
        <f t="shared" si="6"/>
        <v>0</v>
      </c>
      <c r="G140" s="106">
        <v>1455000</v>
      </c>
      <c r="H140" s="106">
        <f>0</f>
        <v>0</v>
      </c>
      <c r="I140" s="117">
        <f t="shared" si="7"/>
        <v>1455000</v>
      </c>
    </row>
    <row r="141" spans="1:9">
      <c r="A141" s="119">
        <v>54</v>
      </c>
      <c r="B141" s="119">
        <v>12</v>
      </c>
      <c r="C141" s="121" t="s">
        <v>123</v>
      </c>
      <c r="D141" s="106">
        <v>1660000</v>
      </c>
      <c r="E141" s="106">
        <v>819000</v>
      </c>
      <c r="F141" s="117">
        <f t="shared" si="6"/>
        <v>2479000</v>
      </c>
      <c r="G141" s="106">
        <v>1662000</v>
      </c>
      <c r="H141" s="106"/>
      <c r="I141" s="117">
        <f t="shared" si="7"/>
        <v>1662000</v>
      </c>
    </row>
    <row r="142" spans="1:9">
      <c r="A142" s="119">
        <v>55</v>
      </c>
      <c r="B142" s="119">
        <v>13</v>
      </c>
      <c r="C142" s="121" t="s">
        <v>124</v>
      </c>
      <c r="D142" s="106">
        <v>4110000</v>
      </c>
      <c r="E142" s="106">
        <f>0</f>
        <v>0</v>
      </c>
      <c r="F142" s="117">
        <f t="shared" si="6"/>
        <v>4110000</v>
      </c>
      <c r="G142" s="106"/>
      <c r="H142" s="106"/>
      <c r="I142" s="117">
        <f t="shared" si="7"/>
        <v>0</v>
      </c>
    </row>
    <row r="143" spans="1:9">
      <c r="A143" s="119">
        <v>56</v>
      </c>
      <c r="B143" s="119">
        <v>14</v>
      </c>
      <c r="C143" s="121" t="s">
        <v>125</v>
      </c>
      <c r="D143" s="106">
        <v>229000</v>
      </c>
      <c r="E143" s="106">
        <v>145000</v>
      </c>
      <c r="F143" s="117">
        <f>SUM(D143:E143)</f>
        <v>374000</v>
      </c>
      <c r="G143" s="106">
        <v>229000</v>
      </c>
      <c r="H143" s="106">
        <v>140000</v>
      </c>
      <c r="I143" s="117">
        <f>SUM(G143:H143)</f>
        <v>369000</v>
      </c>
    </row>
    <row r="144" spans="1:9">
      <c r="A144" s="119">
        <v>57</v>
      </c>
      <c r="B144" s="119">
        <v>15</v>
      </c>
      <c r="C144" s="121" t="s">
        <v>126</v>
      </c>
      <c r="D144" s="106">
        <f>0</f>
        <v>0</v>
      </c>
      <c r="E144" s="106">
        <f>0</f>
        <v>0</v>
      </c>
      <c r="F144" s="117">
        <f t="shared" ref="F144:F149" si="8">SUM(D144:E144)</f>
        <v>0</v>
      </c>
      <c r="G144" s="106">
        <f>0</f>
        <v>0</v>
      </c>
      <c r="H144" s="106">
        <f>0</f>
        <v>0</v>
      </c>
      <c r="I144" s="117">
        <f t="shared" si="7"/>
        <v>0</v>
      </c>
    </row>
    <row r="145" spans="1:9">
      <c r="A145" s="119">
        <v>58</v>
      </c>
      <c r="B145" s="119">
        <v>16</v>
      </c>
      <c r="C145" s="121" t="s">
        <v>127</v>
      </c>
      <c r="D145" s="106">
        <v>1116000</v>
      </c>
      <c r="E145" s="106">
        <f>0</f>
        <v>0</v>
      </c>
      <c r="F145" s="117">
        <f t="shared" si="8"/>
        <v>1116000</v>
      </c>
      <c r="G145" s="106">
        <v>1116000</v>
      </c>
      <c r="H145" s="106">
        <f>0</f>
        <v>0</v>
      </c>
      <c r="I145" s="117">
        <f t="shared" si="7"/>
        <v>1116000</v>
      </c>
    </row>
    <row r="146" spans="1:9">
      <c r="A146" s="119">
        <v>59</v>
      </c>
      <c r="B146" s="119">
        <v>17</v>
      </c>
      <c r="C146" s="121" t="s">
        <v>128</v>
      </c>
      <c r="D146" s="106">
        <f>0</f>
        <v>0</v>
      </c>
      <c r="E146" s="106">
        <f>0</f>
        <v>0</v>
      </c>
      <c r="F146" s="117">
        <f t="shared" si="8"/>
        <v>0</v>
      </c>
      <c r="G146" s="106">
        <v>1350000</v>
      </c>
      <c r="H146" s="106">
        <f>0</f>
        <v>0</v>
      </c>
      <c r="I146" s="117">
        <f t="shared" si="7"/>
        <v>1350000</v>
      </c>
    </row>
    <row r="147" spans="1:9">
      <c r="A147" s="119">
        <v>60</v>
      </c>
      <c r="B147" s="119">
        <v>18</v>
      </c>
      <c r="C147" s="121" t="s">
        <v>129</v>
      </c>
      <c r="D147" s="106">
        <v>1149033</v>
      </c>
      <c r="E147" s="106">
        <v>120000</v>
      </c>
      <c r="F147" s="117">
        <f t="shared" si="8"/>
        <v>1269033</v>
      </c>
      <c r="G147" s="106">
        <v>1149033</v>
      </c>
      <c r="H147" s="106">
        <v>120000</v>
      </c>
      <c r="I147" s="117">
        <f t="shared" si="7"/>
        <v>1269033</v>
      </c>
    </row>
    <row r="148" spans="1:9">
      <c r="A148" s="119">
        <v>61</v>
      </c>
      <c r="B148" s="119">
        <v>19</v>
      </c>
      <c r="C148" s="121" t="s">
        <v>130</v>
      </c>
      <c r="D148" s="106">
        <v>260618</v>
      </c>
      <c r="E148" s="106">
        <v>260000</v>
      </c>
      <c r="F148" s="117">
        <f t="shared" si="8"/>
        <v>520618</v>
      </c>
      <c r="G148" s="106">
        <v>260618</v>
      </c>
      <c r="H148" s="106">
        <v>250000</v>
      </c>
      <c r="I148" s="117">
        <f t="shared" si="7"/>
        <v>510618</v>
      </c>
    </row>
    <row r="149" spans="1:9">
      <c r="A149" s="119">
        <v>62</v>
      </c>
      <c r="B149" s="119">
        <v>20</v>
      </c>
      <c r="C149" s="121" t="s">
        <v>131</v>
      </c>
      <c r="D149" s="106">
        <f>0</f>
        <v>0</v>
      </c>
      <c r="E149" s="106">
        <f>0</f>
        <v>0</v>
      </c>
      <c r="F149" s="117">
        <f t="shared" si="8"/>
        <v>0</v>
      </c>
      <c r="G149" s="106">
        <f>0</f>
        <v>0</v>
      </c>
      <c r="H149" s="106">
        <f>0</f>
        <v>0</v>
      </c>
      <c r="I149" s="117">
        <f t="shared" si="7"/>
        <v>0</v>
      </c>
    </row>
    <row r="150" spans="1:9">
      <c r="A150" s="108" t="s">
        <v>58</v>
      </c>
      <c r="B150" s="109"/>
      <c r="C150" s="109"/>
      <c r="D150" s="110">
        <f>SUM(D130:D149)</f>
        <v>14795668</v>
      </c>
      <c r="E150" s="110">
        <f>SUM(E130:E149)</f>
        <v>3831835</v>
      </c>
      <c r="F150" s="110">
        <f>SUM(D150:E150)</f>
        <v>18627503</v>
      </c>
      <c r="G150" s="110">
        <f>SUM(G130:G149)</f>
        <v>14263668</v>
      </c>
      <c r="H150" s="110">
        <f>SUM(H130:H149)</f>
        <v>3368835</v>
      </c>
      <c r="I150" s="110">
        <f>SUM(G150:H150)</f>
        <v>17632503</v>
      </c>
    </row>
    <row r="151" spans="1:9">
      <c r="A151" s="126" t="s">
        <v>132</v>
      </c>
      <c r="B151" s="127"/>
      <c r="C151" s="127"/>
      <c r="D151" s="127"/>
      <c r="E151" s="127"/>
      <c r="F151" s="127"/>
      <c r="G151" s="127"/>
      <c r="H151" s="127"/>
      <c r="I151" s="128"/>
    </row>
    <row r="152" spans="1:9">
      <c r="A152" s="119">
        <v>63</v>
      </c>
      <c r="B152" s="119">
        <v>1</v>
      </c>
      <c r="C152" s="125" t="s">
        <v>133</v>
      </c>
      <c r="D152" s="106">
        <v>1514395</v>
      </c>
      <c r="E152" s="106">
        <v>920000</v>
      </c>
      <c r="F152" s="117">
        <f>SUM(D152:E152)</f>
        <v>2434395</v>
      </c>
      <c r="G152" s="106">
        <v>1514395</v>
      </c>
      <c r="H152" s="106">
        <v>920800</v>
      </c>
      <c r="I152" s="117">
        <f>SUM(G152:H152)</f>
        <v>2435195</v>
      </c>
    </row>
    <row r="153" spans="1:9">
      <c r="A153" s="119">
        <v>64</v>
      </c>
      <c r="B153" s="119">
        <v>2</v>
      </c>
      <c r="C153" s="125" t="s">
        <v>134</v>
      </c>
      <c r="D153" s="106">
        <f>409000+436000</f>
        <v>845000</v>
      </c>
      <c r="E153" s="106">
        <f>500000+161500</f>
        <v>661500</v>
      </c>
      <c r="F153" s="117">
        <f t="shared" ref="F153:F171" si="9">SUM(D153:E153)</f>
        <v>1506500</v>
      </c>
      <c r="G153" s="106">
        <v>261500</v>
      </c>
      <c r="H153" s="106">
        <v>286000</v>
      </c>
      <c r="I153" s="117">
        <f t="shared" ref="I153:I171" si="10">SUM(G153:H153)</f>
        <v>547500</v>
      </c>
    </row>
    <row r="154" spans="1:9">
      <c r="A154" s="119">
        <v>65</v>
      </c>
      <c r="B154" s="119">
        <v>3</v>
      </c>
      <c r="C154" s="125" t="s">
        <v>135</v>
      </c>
      <c r="D154" s="106">
        <v>1425700</v>
      </c>
      <c r="E154" s="106">
        <v>1247500</v>
      </c>
      <c r="F154" s="117">
        <f t="shared" si="9"/>
        <v>2673200</v>
      </c>
      <c r="G154" s="106">
        <f>1425700+1425700</f>
        <v>2851400</v>
      </c>
      <c r="H154" s="106">
        <f>1247500+1247500</f>
        <v>2495000</v>
      </c>
      <c r="I154" s="117">
        <f t="shared" si="10"/>
        <v>5346400</v>
      </c>
    </row>
    <row r="155" spans="1:9">
      <c r="A155" s="119">
        <v>66</v>
      </c>
      <c r="B155" s="119">
        <v>4</v>
      </c>
      <c r="C155" s="125" t="s">
        <v>136</v>
      </c>
      <c r="D155" s="106">
        <f>0</f>
        <v>0</v>
      </c>
      <c r="E155" s="106">
        <v>300000</v>
      </c>
      <c r="F155" s="117">
        <f t="shared" si="9"/>
        <v>300000</v>
      </c>
      <c r="G155" s="106"/>
      <c r="H155" s="106">
        <v>300000</v>
      </c>
      <c r="I155" s="117">
        <f t="shared" si="10"/>
        <v>300000</v>
      </c>
    </row>
    <row r="156" spans="1:9">
      <c r="A156" s="119">
        <v>67</v>
      </c>
      <c r="B156" s="119">
        <v>5</v>
      </c>
      <c r="C156" s="129" t="s">
        <v>137</v>
      </c>
      <c r="D156" s="106">
        <f>0</f>
        <v>0</v>
      </c>
      <c r="E156" s="106">
        <f>0</f>
        <v>0</v>
      </c>
      <c r="F156" s="117">
        <f t="shared" si="9"/>
        <v>0</v>
      </c>
      <c r="G156" s="106">
        <f>0</f>
        <v>0</v>
      </c>
      <c r="H156" s="106">
        <f>0</f>
        <v>0</v>
      </c>
      <c r="I156" s="117">
        <f t="shared" si="10"/>
        <v>0</v>
      </c>
    </row>
    <row r="157" spans="1:9">
      <c r="A157" s="119">
        <v>68</v>
      </c>
      <c r="B157" s="119">
        <v>6</v>
      </c>
      <c r="C157" s="125" t="s">
        <v>138</v>
      </c>
      <c r="D157" s="106">
        <v>794000</v>
      </c>
      <c r="E157" s="106">
        <v>1401000</v>
      </c>
      <c r="F157" s="117">
        <f t="shared" si="9"/>
        <v>2195000</v>
      </c>
      <c r="G157" s="106">
        <v>794000</v>
      </c>
      <c r="H157" s="106">
        <v>1378500</v>
      </c>
      <c r="I157" s="117">
        <f t="shared" si="10"/>
        <v>2172500</v>
      </c>
    </row>
    <row r="158" spans="1:9">
      <c r="A158" s="119">
        <v>69</v>
      </c>
      <c r="B158" s="119">
        <v>7</v>
      </c>
      <c r="C158" s="125" t="s">
        <v>139</v>
      </c>
      <c r="D158" s="106">
        <f>0</f>
        <v>0</v>
      </c>
      <c r="E158" s="106"/>
      <c r="F158" s="117">
        <f t="shared" si="9"/>
        <v>0</v>
      </c>
      <c r="G158" s="106">
        <v>406000</v>
      </c>
      <c r="H158" s="106">
        <v>500000</v>
      </c>
      <c r="I158" s="117">
        <f t="shared" si="10"/>
        <v>906000</v>
      </c>
    </row>
    <row r="159" spans="1:9">
      <c r="A159" s="119">
        <v>70</v>
      </c>
      <c r="B159" s="119">
        <v>8</v>
      </c>
      <c r="C159" s="125" t="s">
        <v>140</v>
      </c>
      <c r="D159" s="106">
        <v>561700</v>
      </c>
      <c r="E159" s="106">
        <v>1063000</v>
      </c>
      <c r="F159" s="117">
        <f t="shared" si="9"/>
        <v>1624700</v>
      </c>
      <c r="G159" s="106">
        <v>561700</v>
      </c>
      <c r="H159" s="106">
        <v>939000</v>
      </c>
      <c r="I159" s="117">
        <f t="shared" si="10"/>
        <v>1500700</v>
      </c>
    </row>
    <row r="160" spans="1:9">
      <c r="A160" s="119">
        <v>71</v>
      </c>
      <c r="B160" s="119">
        <v>9</v>
      </c>
      <c r="C160" s="125" t="s">
        <v>141</v>
      </c>
      <c r="D160" s="106">
        <f>0</f>
        <v>0</v>
      </c>
      <c r="E160" s="106">
        <f>0</f>
        <v>0</v>
      </c>
      <c r="F160" s="117">
        <f t="shared" si="9"/>
        <v>0</v>
      </c>
      <c r="G160" s="106">
        <v>337000</v>
      </c>
      <c r="H160" s="106">
        <v>505000</v>
      </c>
      <c r="I160" s="117">
        <f t="shared" si="10"/>
        <v>842000</v>
      </c>
    </row>
    <row r="161" spans="1:9">
      <c r="A161" s="119">
        <v>72</v>
      </c>
      <c r="B161" s="119">
        <v>10</v>
      </c>
      <c r="C161" s="125" t="s">
        <v>142</v>
      </c>
      <c r="D161" s="106">
        <v>357100</v>
      </c>
      <c r="E161" s="106">
        <v>86000</v>
      </c>
      <c r="F161" s="117">
        <f t="shared" si="9"/>
        <v>443100</v>
      </c>
      <c r="G161" s="106">
        <v>357100</v>
      </c>
      <c r="H161" s="106">
        <v>74000</v>
      </c>
      <c r="I161" s="117">
        <f t="shared" si="10"/>
        <v>431100</v>
      </c>
    </row>
    <row r="162" spans="1:9">
      <c r="A162" s="119">
        <v>73</v>
      </c>
      <c r="B162" s="119">
        <v>11</v>
      </c>
      <c r="C162" s="125" t="s">
        <v>143</v>
      </c>
      <c r="D162" s="106">
        <v>277000</v>
      </c>
      <c r="E162" s="106">
        <v>627000</v>
      </c>
      <c r="F162" s="117">
        <f t="shared" si="9"/>
        <v>904000</v>
      </c>
      <c r="G162" s="106">
        <v>200000</v>
      </c>
      <c r="H162" s="106">
        <v>600000</v>
      </c>
      <c r="I162" s="117">
        <f t="shared" si="10"/>
        <v>800000</v>
      </c>
    </row>
    <row r="163" spans="1:9">
      <c r="A163" s="119">
        <v>74</v>
      </c>
      <c r="B163" s="119">
        <v>12</v>
      </c>
      <c r="C163" s="125" t="s">
        <v>144</v>
      </c>
      <c r="D163" s="106">
        <v>185000</v>
      </c>
      <c r="E163" s="106">
        <f>0</f>
        <v>0</v>
      </c>
      <c r="F163" s="117">
        <f t="shared" si="9"/>
        <v>185000</v>
      </c>
      <c r="G163" s="106">
        <v>185000</v>
      </c>
      <c r="H163" s="106">
        <v>814000</v>
      </c>
      <c r="I163" s="117">
        <f t="shared" si="10"/>
        <v>999000</v>
      </c>
    </row>
    <row r="164" spans="1:9">
      <c r="A164" s="119">
        <v>75</v>
      </c>
      <c r="B164" s="119">
        <v>13</v>
      </c>
      <c r="C164" s="125" t="s">
        <v>145</v>
      </c>
      <c r="D164" s="219">
        <f>0</f>
        <v>0</v>
      </c>
      <c r="E164" s="219">
        <f>0</f>
        <v>0</v>
      </c>
      <c r="F164" s="117">
        <f t="shared" si="9"/>
        <v>0</v>
      </c>
      <c r="G164" s="219">
        <f>0</f>
        <v>0</v>
      </c>
      <c r="H164" s="219">
        <v>500000</v>
      </c>
      <c r="I164" s="117">
        <f t="shared" si="10"/>
        <v>500000</v>
      </c>
    </row>
    <row r="165" spans="1:9">
      <c r="A165" s="119">
        <v>76</v>
      </c>
      <c r="B165" s="119">
        <v>14</v>
      </c>
      <c r="C165" s="129" t="s">
        <v>146</v>
      </c>
      <c r="D165" s="106"/>
      <c r="E165" s="106">
        <f>1090000+1090000</f>
        <v>2180000</v>
      </c>
      <c r="F165" s="117">
        <f t="shared" si="9"/>
        <v>2180000</v>
      </c>
      <c r="G165" s="106"/>
      <c r="H165" s="106">
        <f>1080000+1080000</f>
        <v>2160000</v>
      </c>
      <c r="I165" s="117">
        <f t="shared" si="10"/>
        <v>2160000</v>
      </c>
    </row>
    <row r="166" spans="1:9">
      <c r="A166" s="119">
        <v>77</v>
      </c>
      <c r="B166" s="119">
        <v>15</v>
      </c>
      <c r="C166" s="125" t="s">
        <v>147</v>
      </c>
      <c r="D166" s="106"/>
      <c r="E166" s="106">
        <v>1046000</v>
      </c>
      <c r="F166" s="117">
        <f t="shared" si="9"/>
        <v>1046000</v>
      </c>
      <c r="G166" s="106"/>
      <c r="H166" s="106">
        <v>1046000</v>
      </c>
      <c r="I166" s="117">
        <f t="shared" si="10"/>
        <v>1046000</v>
      </c>
    </row>
    <row r="167" spans="1:9">
      <c r="A167" s="119">
        <v>78</v>
      </c>
      <c r="B167" s="119">
        <v>16</v>
      </c>
      <c r="C167" s="125" t="s">
        <v>148</v>
      </c>
      <c r="D167" s="106"/>
      <c r="E167" s="106">
        <v>2289000</v>
      </c>
      <c r="F167" s="117">
        <f t="shared" si="9"/>
        <v>2289000</v>
      </c>
      <c r="G167" s="106"/>
      <c r="H167" s="106"/>
      <c r="I167" s="117">
        <f t="shared" si="10"/>
        <v>0</v>
      </c>
    </row>
    <row r="168" spans="1:9">
      <c r="A168" s="119">
        <v>79</v>
      </c>
      <c r="B168" s="119">
        <v>17</v>
      </c>
      <c r="C168" s="125" t="s">
        <v>149</v>
      </c>
      <c r="D168" s="106"/>
      <c r="E168" s="106"/>
      <c r="F168" s="117">
        <f t="shared" si="9"/>
        <v>0</v>
      </c>
      <c r="G168" s="106"/>
      <c r="H168" s="106">
        <v>763000</v>
      </c>
      <c r="I168" s="117">
        <f t="shared" si="10"/>
        <v>763000</v>
      </c>
    </row>
    <row r="169" spans="1:9">
      <c r="A169" s="119">
        <v>80</v>
      </c>
      <c r="B169" s="119">
        <v>18</v>
      </c>
      <c r="C169" s="121" t="s">
        <v>150</v>
      </c>
      <c r="D169" s="106"/>
      <c r="E169" s="106"/>
      <c r="F169" s="117">
        <f t="shared" si="9"/>
        <v>0</v>
      </c>
      <c r="G169" s="106">
        <v>229042</v>
      </c>
      <c r="H169" s="106">
        <v>2751980</v>
      </c>
      <c r="I169" s="117">
        <f t="shared" si="10"/>
        <v>2981022</v>
      </c>
    </row>
    <row r="170" spans="1:9">
      <c r="A170" s="119">
        <v>81</v>
      </c>
      <c r="B170" s="119">
        <v>19</v>
      </c>
      <c r="C170" s="121" t="s">
        <v>151</v>
      </c>
      <c r="D170" s="106">
        <v>842000</v>
      </c>
      <c r="E170" s="106">
        <v>150000</v>
      </c>
      <c r="F170" s="117">
        <f t="shared" si="9"/>
        <v>992000</v>
      </c>
      <c r="G170" s="106">
        <v>835500</v>
      </c>
      <c r="H170" s="106">
        <v>150000</v>
      </c>
      <c r="I170" s="117">
        <f t="shared" si="10"/>
        <v>985500</v>
      </c>
    </row>
    <row r="171" spans="1:9">
      <c r="A171" s="119">
        <v>82</v>
      </c>
      <c r="B171" s="119">
        <v>20</v>
      </c>
      <c r="C171" s="121" t="s">
        <v>152</v>
      </c>
      <c r="D171" s="106">
        <v>309000</v>
      </c>
      <c r="E171" s="106">
        <v>703000</v>
      </c>
      <c r="F171" s="117">
        <f t="shared" si="9"/>
        <v>1012000</v>
      </c>
      <c r="G171" s="106">
        <v>309000</v>
      </c>
      <c r="H171" s="106">
        <v>703000</v>
      </c>
      <c r="I171" s="117">
        <f t="shared" si="10"/>
        <v>1012000</v>
      </c>
    </row>
    <row r="172" spans="1:9">
      <c r="A172" s="108" t="s">
        <v>58</v>
      </c>
      <c r="B172" s="109"/>
      <c r="C172" s="109"/>
      <c r="D172" s="110">
        <f>SUM(D152:D171)</f>
        <v>7110895</v>
      </c>
      <c r="E172" s="110">
        <f>SUM(E152:E171)</f>
        <v>12674000</v>
      </c>
      <c r="F172" s="110">
        <f>SUM(D172:E172)</f>
        <v>19784895</v>
      </c>
      <c r="G172" s="110">
        <f>SUM(G152:G171)</f>
        <v>8841637</v>
      </c>
      <c r="H172" s="110">
        <f>SUM(H152:H171)</f>
        <v>16886280</v>
      </c>
      <c r="I172" s="110">
        <f>SUM(G172:H172)</f>
        <v>25727917</v>
      </c>
    </row>
    <row r="173" spans="1:9">
      <c r="A173" s="108" t="s">
        <v>153</v>
      </c>
      <c r="B173" s="109"/>
      <c r="C173" s="109"/>
      <c r="D173" s="109"/>
      <c r="E173" s="109"/>
      <c r="F173" s="109"/>
      <c r="G173" s="109"/>
      <c r="H173" s="109"/>
      <c r="I173" s="113"/>
    </row>
    <row r="174" spans="1:9">
      <c r="A174" s="119">
        <v>83</v>
      </c>
      <c r="B174" s="119">
        <v>1</v>
      </c>
      <c r="C174" s="121" t="s">
        <v>154</v>
      </c>
      <c r="D174" s="106">
        <v>1392225</v>
      </c>
      <c r="E174" s="106">
        <v>105500</v>
      </c>
      <c r="F174" s="117">
        <f>SUM(D174:E174)</f>
        <v>1497725</v>
      </c>
      <c r="G174" s="106">
        <v>1392225</v>
      </c>
      <c r="H174" s="106">
        <v>105500</v>
      </c>
      <c r="I174" s="117">
        <f>SUM(G174:H174)</f>
        <v>1497725</v>
      </c>
    </row>
    <row r="175" spans="1:9">
      <c r="A175" s="119">
        <v>84</v>
      </c>
      <c r="B175" s="119">
        <v>2</v>
      </c>
      <c r="C175" s="121" t="s">
        <v>155</v>
      </c>
      <c r="D175" s="106"/>
      <c r="E175" s="106">
        <v>30000</v>
      </c>
      <c r="F175" s="117">
        <f t="shared" ref="F175:F193" si="11">SUM(D175:E175)</f>
        <v>30000</v>
      </c>
      <c r="G175" s="106"/>
      <c r="H175" s="106">
        <v>30000</v>
      </c>
      <c r="I175" s="117">
        <f t="shared" ref="I175:I196" si="12">SUM(G175:H175)</f>
        <v>30000</v>
      </c>
    </row>
    <row r="176" spans="1:9">
      <c r="A176" s="119">
        <v>85</v>
      </c>
      <c r="B176" s="119">
        <v>3</v>
      </c>
      <c r="C176" s="121" t="s">
        <v>156</v>
      </c>
      <c r="D176" s="106"/>
      <c r="E176" s="106">
        <f>255000+45000</f>
        <v>300000</v>
      </c>
      <c r="F176" s="117">
        <f t="shared" si="11"/>
        <v>300000</v>
      </c>
      <c r="G176" s="106"/>
      <c r="H176" s="106">
        <f>40000+260000</f>
        <v>300000</v>
      </c>
      <c r="I176" s="117">
        <f t="shared" si="12"/>
        <v>300000</v>
      </c>
    </row>
    <row r="177" spans="1:9">
      <c r="A177" s="119">
        <v>86</v>
      </c>
      <c r="B177" s="119">
        <v>4</v>
      </c>
      <c r="C177" s="121" t="s">
        <v>157</v>
      </c>
      <c r="D177" s="106">
        <v>777000</v>
      </c>
      <c r="E177" s="106">
        <v>240000</v>
      </c>
      <c r="F177" s="117">
        <f t="shared" si="11"/>
        <v>1017000</v>
      </c>
      <c r="G177" s="106"/>
      <c r="H177" s="106"/>
      <c r="I177" s="117">
        <f t="shared" si="12"/>
        <v>0</v>
      </c>
    </row>
    <row r="178" spans="1:9">
      <c r="A178" s="119">
        <v>87</v>
      </c>
      <c r="B178" s="119">
        <v>5</v>
      </c>
      <c r="C178" s="121" t="s">
        <v>158</v>
      </c>
      <c r="D178" s="106"/>
      <c r="E178" s="106"/>
      <c r="F178" s="117">
        <f t="shared" si="11"/>
        <v>0</v>
      </c>
      <c r="G178" s="106"/>
      <c r="H178" s="106"/>
      <c r="I178" s="117">
        <f t="shared" si="12"/>
        <v>0</v>
      </c>
    </row>
    <row r="179" spans="1:9">
      <c r="A179" s="119">
        <v>88</v>
      </c>
      <c r="B179" s="119">
        <v>6</v>
      </c>
      <c r="C179" s="125" t="s">
        <v>159</v>
      </c>
      <c r="D179" s="106">
        <v>20000000</v>
      </c>
      <c r="E179" s="106"/>
      <c r="F179" s="117">
        <f t="shared" si="11"/>
        <v>20000000</v>
      </c>
      <c r="G179" s="106">
        <f>20000000+20000000</f>
        <v>40000000</v>
      </c>
      <c r="H179" s="106"/>
      <c r="I179" s="117">
        <f t="shared" si="12"/>
        <v>40000000</v>
      </c>
    </row>
    <row r="180" spans="1:9">
      <c r="A180" s="119">
        <v>89</v>
      </c>
      <c r="B180" s="119">
        <v>7</v>
      </c>
      <c r="C180" s="121" t="s">
        <v>160</v>
      </c>
      <c r="D180" s="106"/>
      <c r="E180" s="106"/>
      <c r="F180" s="117">
        <f t="shared" si="11"/>
        <v>0</v>
      </c>
      <c r="G180" s="106"/>
      <c r="H180" s="106"/>
      <c r="I180" s="117">
        <f t="shared" si="12"/>
        <v>0</v>
      </c>
    </row>
    <row r="181" spans="1:9">
      <c r="A181" s="119">
        <v>90</v>
      </c>
      <c r="B181" s="119">
        <v>8</v>
      </c>
      <c r="C181" s="121" t="s">
        <v>161</v>
      </c>
      <c r="D181" s="106"/>
      <c r="E181" s="106"/>
      <c r="F181" s="117">
        <f t="shared" si="11"/>
        <v>0</v>
      </c>
      <c r="G181" s="106"/>
      <c r="H181" s="106"/>
      <c r="I181" s="117">
        <f t="shared" si="12"/>
        <v>0</v>
      </c>
    </row>
    <row r="182" spans="1:9">
      <c r="A182" s="119">
        <v>91</v>
      </c>
      <c r="B182" s="119">
        <v>9</v>
      </c>
      <c r="C182" s="121" t="s">
        <v>162</v>
      </c>
      <c r="D182" s="106"/>
      <c r="E182" s="106"/>
      <c r="F182" s="117">
        <f t="shared" si="11"/>
        <v>0</v>
      </c>
      <c r="G182" s="106"/>
      <c r="H182" s="106"/>
      <c r="I182" s="117">
        <f t="shared" si="12"/>
        <v>0</v>
      </c>
    </row>
    <row r="183" spans="1:9">
      <c r="A183" s="119">
        <v>92</v>
      </c>
      <c r="B183" s="119">
        <v>10</v>
      </c>
      <c r="C183" s="121" t="s">
        <v>163</v>
      </c>
      <c r="D183" s="106"/>
      <c r="E183" s="106"/>
      <c r="F183" s="117">
        <f t="shared" si="11"/>
        <v>0</v>
      </c>
      <c r="G183" s="106">
        <v>35000</v>
      </c>
      <c r="H183" s="106">
        <v>11000</v>
      </c>
      <c r="I183" s="117">
        <f t="shared" si="12"/>
        <v>46000</v>
      </c>
    </row>
    <row r="184" spans="1:9">
      <c r="A184" s="119">
        <v>93</v>
      </c>
      <c r="B184" s="119">
        <v>11</v>
      </c>
      <c r="C184" s="121" t="s">
        <v>164</v>
      </c>
      <c r="D184" s="106"/>
      <c r="E184" s="106"/>
      <c r="F184" s="117">
        <f t="shared" si="11"/>
        <v>0</v>
      </c>
      <c r="G184" s="106">
        <f>8943975+9209838</f>
        <v>18153813</v>
      </c>
      <c r="H184" s="106"/>
      <c r="I184" s="117">
        <f t="shared" si="12"/>
        <v>18153813</v>
      </c>
    </row>
    <row r="185" spans="1:9">
      <c r="A185" s="119">
        <v>94</v>
      </c>
      <c r="B185" s="119">
        <v>12</v>
      </c>
      <c r="C185" s="121" t="s">
        <v>165</v>
      </c>
      <c r="D185" s="106"/>
      <c r="E185" s="106"/>
      <c r="F185" s="117">
        <f t="shared" si="11"/>
        <v>0</v>
      </c>
      <c r="G185" s="106"/>
      <c r="H185" s="106"/>
      <c r="I185" s="117">
        <f t="shared" si="12"/>
        <v>0</v>
      </c>
    </row>
    <row r="186" spans="1:9">
      <c r="A186" s="119">
        <v>95</v>
      </c>
      <c r="B186" s="119">
        <v>13</v>
      </c>
      <c r="C186" s="121" t="s">
        <v>166</v>
      </c>
      <c r="D186" s="106"/>
      <c r="E186" s="106"/>
      <c r="F186" s="117">
        <f t="shared" si="11"/>
        <v>0</v>
      </c>
      <c r="G186" s="106"/>
      <c r="H186" s="106">
        <f>86000+86000</f>
        <v>172000</v>
      </c>
      <c r="I186" s="117">
        <f t="shared" si="12"/>
        <v>172000</v>
      </c>
    </row>
    <row r="187" spans="1:9">
      <c r="A187" s="119">
        <v>96</v>
      </c>
      <c r="B187" s="119">
        <v>14</v>
      </c>
      <c r="C187" s="121" t="s">
        <v>167</v>
      </c>
      <c r="D187" s="106"/>
      <c r="E187" s="106">
        <v>72000</v>
      </c>
      <c r="F187" s="117">
        <f t="shared" si="11"/>
        <v>72000</v>
      </c>
      <c r="G187" s="106"/>
      <c r="H187" s="106">
        <v>70500</v>
      </c>
      <c r="I187" s="117">
        <f t="shared" si="12"/>
        <v>70500</v>
      </c>
    </row>
    <row r="188" spans="1:9">
      <c r="A188" s="119">
        <v>97</v>
      </c>
      <c r="B188" s="119">
        <v>15</v>
      </c>
      <c r="C188" s="121" t="s">
        <v>168</v>
      </c>
      <c r="D188" s="106">
        <v>710000</v>
      </c>
      <c r="E188" s="106">
        <v>403000</v>
      </c>
      <c r="F188" s="117">
        <f t="shared" si="11"/>
        <v>1113000</v>
      </c>
      <c r="G188" s="106">
        <v>463000</v>
      </c>
      <c r="H188" s="106">
        <v>398000</v>
      </c>
      <c r="I188" s="117">
        <f t="shared" si="12"/>
        <v>861000</v>
      </c>
    </row>
    <row r="189" spans="1:9">
      <c r="A189" s="119">
        <v>98</v>
      </c>
      <c r="B189" s="119">
        <v>16</v>
      </c>
      <c r="C189" s="121" t="s">
        <v>428</v>
      </c>
      <c r="D189" s="106">
        <v>997100</v>
      </c>
      <c r="E189" s="106">
        <f>404000+340000</f>
        <v>744000</v>
      </c>
      <c r="F189" s="117">
        <f t="shared" si="11"/>
        <v>1741100</v>
      </c>
      <c r="G189" s="106">
        <v>997100</v>
      </c>
      <c r="H189" s="106">
        <f>340000+404000</f>
        <v>744000</v>
      </c>
      <c r="I189" s="117">
        <f t="shared" si="12"/>
        <v>1741100</v>
      </c>
    </row>
    <row r="190" spans="1:9">
      <c r="A190" s="119">
        <v>99</v>
      </c>
      <c r="B190" s="119">
        <v>17</v>
      </c>
      <c r="C190" s="121" t="s">
        <v>170</v>
      </c>
      <c r="D190" s="106"/>
      <c r="E190" s="106"/>
      <c r="F190" s="117">
        <f t="shared" si="11"/>
        <v>0</v>
      </c>
      <c r="G190" s="106"/>
      <c r="H190" s="106"/>
      <c r="I190" s="117">
        <f t="shared" si="12"/>
        <v>0</v>
      </c>
    </row>
    <row r="191" spans="1:9">
      <c r="A191" s="119">
        <v>100</v>
      </c>
      <c r="B191" s="119">
        <v>18</v>
      </c>
      <c r="C191" s="121" t="s">
        <v>171</v>
      </c>
      <c r="D191" s="106"/>
      <c r="E191" s="106"/>
      <c r="F191" s="117">
        <f t="shared" si="11"/>
        <v>0</v>
      </c>
      <c r="G191" s="106"/>
      <c r="H191" s="106"/>
      <c r="I191" s="117">
        <f t="shared" si="12"/>
        <v>0</v>
      </c>
    </row>
    <row r="192" spans="1:9">
      <c r="A192" s="119">
        <v>101</v>
      </c>
      <c r="B192" s="119">
        <v>19</v>
      </c>
      <c r="C192" s="121" t="s">
        <v>172</v>
      </c>
      <c r="D192" s="106"/>
      <c r="E192" s="106"/>
      <c r="F192" s="117">
        <f t="shared" si="11"/>
        <v>0</v>
      </c>
      <c r="G192" s="106"/>
      <c r="H192" s="106"/>
      <c r="I192" s="117">
        <f t="shared" si="12"/>
        <v>0</v>
      </c>
    </row>
    <row r="193" spans="1:9">
      <c r="A193" s="119">
        <v>102</v>
      </c>
      <c r="B193" s="119">
        <v>20</v>
      </c>
      <c r="C193" s="121" t="s">
        <v>173</v>
      </c>
      <c r="D193" s="106"/>
      <c r="E193" s="106"/>
      <c r="F193" s="117">
        <f t="shared" si="11"/>
        <v>0</v>
      </c>
      <c r="G193" s="106"/>
      <c r="H193" s="106"/>
      <c r="I193" s="117">
        <f t="shared" si="12"/>
        <v>0</v>
      </c>
    </row>
    <row r="194" spans="1:9">
      <c r="A194" s="119">
        <v>103</v>
      </c>
      <c r="B194" s="119">
        <v>21</v>
      </c>
      <c r="C194" s="121" t="s">
        <v>174</v>
      </c>
      <c r="D194" s="106"/>
      <c r="E194" s="106"/>
      <c r="F194" s="117">
        <f>SUM(D194:E194)</f>
        <v>0</v>
      </c>
      <c r="G194" s="106"/>
      <c r="H194" s="106"/>
      <c r="I194" s="117">
        <f>SUM(G194:H194)</f>
        <v>0</v>
      </c>
    </row>
    <row r="195" spans="1:9">
      <c r="A195" s="119">
        <v>104</v>
      </c>
      <c r="B195" s="119">
        <v>22</v>
      </c>
      <c r="C195" s="121" t="s">
        <v>175</v>
      </c>
      <c r="D195" s="106"/>
      <c r="E195" s="106"/>
      <c r="F195" s="117">
        <f>SUM(D195:E195)</f>
        <v>0</v>
      </c>
      <c r="G195" s="106"/>
      <c r="H195" s="106"/>
      <c r="I195" s="117">
        <f t="shared" si="12"/>
        <v>0</v>
      </c>
    </row>
    <row r="196" spans="1:9">
      <c r="A196" s="119">
        <v>105</v>
      </c>
      <c r="B196" s="119">
        <v>23</v>
      </c>
      <c r="C196" s="121" t="s">
        <v>176</v>
      </c>
      <c r="D196" s="106"/>
      <c r="E196" s="106"/>
      <c r="F196" s="117">
        <f>SUM(D196:E196)</f>
        <v>0</v>
      </c>
      <c r="G196" s="106"/>
      <c r="H196" s="106"/>
      <c r="I196" s="117">
        <f t="shared" si="12"/>
        <v>0</v>
      </c>
    </row>
    <row r="197" spans="1:9">
      <c r="A197" s="108" t="s">
        <v>58</v>
      </c>
      <c r="B197" s="109"/>
      <c r="C197" s="109"/>
      <c r="D197" s="110">
        <f>SUM(D174:D196)</f>
        <v>23876325</v>
      </c>
      <c r="E197" s="110">
        <f>SUM(E174:E196)</f>
        <v>1894500</v>
      </c>
      <c r="F197" s="110">
        <f>SUM(D197:E197)</f>
        <v>25770825</v>
      </c>
      <c r="G197" s="110">
        <f>SUM(G174:G196)</f>
        <v>61041138</v>
      </c>
      <c r="H197" s="110">
        <f>SUM(H174:H196)</f>
        <v>1831000</v>
      </c>
      <c r="I197" s="110">
        <f>SUM(G197:H197)</f>
        <v>62872138</v>
      </c>
    </row>
    <row r="198" spans="1:9">
      <c r="A198" s="108" t="s">
        <v>177</v>
      </c>
      <c r="B198" s="109"/>
      <c r="C198" s="109"/>
      <c r="D198" s="109"/>
      <c r="E198" s="109"/>
      <c r="F198" s="109"/>
      <c r="G198" s="109"/>
      <c r="H198" s="109"/>
      <c r="I198" s="113"/>
    </row>
    <row r="199" spans="1:9">
      <c r="A199" s="119">
        <v>106</v>
      </c>
      <c r="B199" s="119">
        <v>1</v>
      </c>
      <c r="C199" s="105" t="s">
        <v>178</v>
      </c>
      <c r="D199" s="106">
        <f>0</f>
        <v>0</v>
      </c>
      <c r="E199" s="106">
        <f>0</f>
        <v>0</v>
      </c>
      <c r="F199" s="117">
        <f>SUM(D199:E199)</f>
        <v>0</v>
      </c>
      <c r="G199" s="106">
        <f>0</f>
        <v>0</v>
      </c>
      <c r="H199" s="106">
        <f>0</f>
        <v>0</v>
      </c>
      <c r="I199" s="117">
        <f>SUM(G199:H199)</f>
        <v>0</v>
      </c>
    </row>
    <row r="200" spans="1:9">
      <c r="A200" s="119">
        <v>107</v>
      </c>
      <c r="B200" s="119">
        <v>2</v>
      </c>
      <c r="C200" s="120" t="s">
        <v>179</v>
      </c>
      <c r="D200" s="106">
        <v>255201</v>
      </c>
      <c r="E200" s="106">
        <v>74100</v>
      </c>
      <c r="F200" s="117">
        <f t="shared" ref="F200:F245" si="13">SUM(D200:E200)</f>
        <v>329301</v>
      </c>
      <c r="G200" s="106">
        <v>348790</v>
      </c>
      <c r="H200" s="106">
        <v>72200</v>
      </c>
      <c r="I200" s="117">
        <f t="shared" ref="I200:I251" si="14">SUM(G200:H200)</f>
        <v>420990</v>
      </c>
    </row>
    <row r="201" spans="1:9">
      <c r="A201" s="119">
        <v>108</v>
      </c>
      <c r="B201" s="119">
        <v>3</v>
      </c>
      <c r="C201" s="120" t="s">
        <v>180</v>
      </c>
      <c r="D201" s="106">
        <f>0</f>
        <v>0</v>
      </c>
      <c r="E201" s="106">
        <v>95000</v>
      </c>
      <c r="F201" s="117">
        <f t="shared" si="13"/>
        <v>95000</v>
      </c>
      <c r="G201" s="106"/>
      <c r="H201" s="106">
        <v>90000</v>
      </c>
      <c r="I201" s="117">
        <f t="shared" si="14"/>
        <v>90000</v>
      </c>
    </row>
    <row r="202" spans="1:9">
      <c r="A202" s="119">
        <v>109</v>
      </c>
      <c r="B202" s="119">
        <v>4</v>
      </c>
      <c r="C202" s="105" t="s">
        <v>181</v>
      </c>
      <c r="D202" s="106"/>
      <c r="E202" s="106"/>
      <c r="F202" s="117">
        <f t="shared" si="13"/>
        <v>0</v>
      </c>
      <c r="G202" s="106">
        <v>821400</v>
      </c>
      <c r="H202" s="106">
        <f>81000</f>
        <v>81000</v>
      </c>
      <c r="I202" s="117">
        <f t="shared" si="14"/>
        <v>902400</v>
      </c>
    </row>
    <row r="203" spans="1:9">
      <c r="A203" s="119">
        <v>110</v>
      </c>
      <c r="B203" s="119">
        <v>5</v>
      </c>
      <c r="C203" s="130" t="s">
        <v>182</v>
      </c>
      <c r="D203" s="106"/>
      <c r="E203" s="106"/>
      <c r="F203" s="117">
        <f t="shared" si="13"/>
        <v>0</v>
      </c>
      <c r="G203" s="106"/>
      <c r="H203" s="106"/>
      <c r="I203" s="117">
        <f t="shared" si="14"/>
        <v>0</v>
      </c>
    </row>
    <row r="204" spans="1:9">
      <c r="A204" s="119">
        <v>111</v>
      </c>
      <c r="B204" s="119">
        <v>6</v>
      </c>
      <c r="C204" s="130" t="s">
        <v>183</v>
      </c>
      <c r="D204" s="106"/>
      <c r="E204" s="106"/>
      <c r="F204" s="117">
        <f t="shared" si="13"/>
        <v>0</v>
      </c>
      <c r="G204" s="106">
        <f>190075+190075+190075</f>
        <v>570225</v>
      </c>
      <c r="H204" s="106">
        <f>350000+350000+350000</f>
        <v>1050000</v>
      </c>
      <c r="I204" s="117">
        <f t="shared" si="14"/>
        <v>1620225</v>
      </c>
    </row>
    <row r="205" spans="1:9">
      <c r="A205" s="119">
        <v>112</v>
      </c>
      <c r="B205" s="119">
        <v>7</v>
      </c>
      <c r="C205" s="130" t="s">
        <v>184</v>
      </c>
      <c r="D205" s="106">
        <v>442800</v>
      </c>
      <c r="E205" s="106">
        <v>371500</v>
      </c>
      <c r="F205" s="117">
        <f t="shared" si="13"/>
        <v>814300</v>
      </c>
      <c r="G205" s="106">
        <v>442800</v>
      </c>
      <c r="H205" s="106">
        <v>371500</v>
      </c>
      <c r="I205" s="117">
        <f t="shared" si="14"/>
        <v>814300</v>
      </c>
    </row>
    <row r="206" spans="1:9">
      <c r="A206" s="119">
        <v>113</v>
      </c>
      <c r="B206" s="119">
        <v>8</v>
      </c>
      <c r="C206" s="130" t="s">
        <v>185</v>
      </c>
      <c r="D206" s="106"/>
      <c r="E206" s="106"/>
      <c r="F206" s="117">
        <f t="shared" si="13"/>
        <v>0</v>
      </c>
      <c r="G206" s="106"/>
      <c r="H206" s="106"/>
      <c r="I206" s="117">
        <f t="shared" si="14"/>
        <v>0</v>
      </c>
    </row>
    <row r="207" spans="1:9">
      <c r="A207" s="119">
        <v>114</v>
      </c>
      <c r="B207" s="119">
        <v>9</v>
      </c>
      <c r="C207" s="130" t="s">
        <v>186</v>
      </c>
      <c r="D207" s="106"/>
      <c r="E207" s="106"/>
      <c r="F207" s="117">
        <f t="shared" si="13"/>
        <v>0</v>
      </c>
      <c r="G207" s="106"/>
      <c r="H207" s="106"/>
      <c r="I207" s="117">
        <f t="shared" si="14"/>
        <v>0</v>
      </c>
    </row>
    <row r="208" spans="1:9">
      <c r="A208" s="119">
        <v>115</v>
      </c>
      <c r="B208" s="119">
        <v>10</v>
      </c>
      <c r="C208" s="130" t="s">
        <v>187</v>
      </c>
      <c r="D208" s="106"/>
      <c r="E208" s="106"/>
      <c r="F208" s="117">
        <f t="shared" si="13"/>
        <v>0</v>
      </c>
      <c r="G208" s="106"/>
      <c r="H208" s="106"/>
      <c r="I208" s="117">
        <f t="shared" si="14"/>
        <v>0</v>
      </c>
    </row>
    <row r="209" spans="1:9">
      <c r="A209" s="119">
        <v>116</v>
      </c>
      <c r="B209" s="119">
        <v>11</v>
      </c>
      <c r="C209" s="130" t="s">
        <v>188</v>
      </c>
      <c r="D209" s="106"/>
      <c r="E209" s="106"/>
      <c r="F209" s="117">
        <f t="shared" si="13"/>
        <v>0</v>
      </c>
      <c r="G209" s="106"/>
      <c r="H209" s="106"/>
      <c r="I209" s="117">
        <f t="shared" si="14"/>
        <v>0</v>
      </c>
    </row>
    <row r="210" spans="1:9">
      <c r="A210" s="119">
        <v>117</v>
      </c>
      <c r="B210" s="119">
        <v>12</v>
      </c>
      <c r="C210" s="130" t="s">
        <v>189</v>
      </c>
      <c r="D210" s="106">
        <f>0</f>
        <v>0</v>
      </c>
      <c r="E210" s="106">
        <v>300000</v>
      </c>
      <c r="F210" s="117">
        <f t="shared" si="13"/>
        <v>300000</v>
      </c>
      <c r="G210" s="106">
        <v>76000</v>
      </c>
      <c r="H210" s="106">
        <v>300000</v>
      </c>
      <c r="I210" s="117">
        <f>SUM(G210:H210)</f>
        <v>376000</v>
      </c>
    </row>
    <row r="211" spans="1:9">
      <c r="A211" s="119">
        <v>118</v>
      </c>
      <c r="B211" s="119">
        <v>13</v>
      </c>
      <c r="C211" s="130" t="s">
        <v>190</v>
      </c>
      <c r="D211" s="106">
        <f>0</f>
        <v>0</v>
      </c>
      <c r="E211" s="106"/>
      <c r="F211" s="117">
        <f t="shared" si="13"/>
        <v>0</v>
      </c>
      <c r="G211" s="106">
        <v>992800</v>
      </c>
      <c r="H211" s="106">
        <v>1136000</v>
      </c>
      <c r="I211" s="117">
        <f t="shared" si="14"/>
        <v>2128800</v>
      </c>
    </row>
    <row r="212" spans="1:9">
      <c r="A212" s="119">
        <v>119</v>
      </c>
      <c r="B212" s="119">
        <v>14</v>
      </c>
      <c r="C212" s="130" t="s">
        <v>191</v>
      </c>
      <c r="D212" s="106">
        <f>0</f>
        <v>0</v>
      </c>
      <c r="E212" s="106"/>
      <c r="F212" s="117">
        <f t="shared" si="13"/>
        <v>0</v>
      </c>
      <c r="G212" s="106">
        <f>0</f>
        <v>0</v>
      </c>
      <c r="H212" s="106"/>
      <c r="I212" s="117">
        <f t="shared" si="14"/>
        <v>0</v>
      </c>
    </row>
    <row r="213" spans="1:9">
      <c r="A213" s="119">
        <v>120</v>
      </c>
      <c r="B213" s="119">
        <v>15</v>
      </c>
      <c r="C213" s="130" t="s">
        <v>192</v>
      </c>
      <c r="D213" s="106">
        <f>0</f>
        <v>0</v>
      </c>
      <c r="E213" s="106">
        <v>26000</v>
      </c>
      <c r="F213" s="117">
        <f t="shared" si="13"/>
        <v>26000</v>
      </c>
      <c r="G213" s="106">
        <f>0</f>
        <v>0</v>
      </c>
      <c r="H213" s="106">
        <v>26000</v>
      </c>
      <c r="I213" s="117">
        <f t="shared" si="14"/>
        <v>26000</v>
      </c>
    </row>
    <row r="214" spans="1:9">
      <c r="A214" s="119">
        <v>121</v>
      </c>
      <c r="B214" s="119">
        <v>16</v>
      </c>
      <c r="C214" s="130" t="s">
        <v>193</v>
      </c>
      <c r="D214" s="106">
        <f>0</f>
        <v>0</v>
      </c>
      <c r="E214" s="106"/>
      <c r="F214" s="117">
        <f t="shared" si="13"/>
        <v>0</v>
      </c>
      <c r="G214" s="106">
        <f>0</f>
        <v>0</v>
      </c>
      <c r="H214" s="106"/>
      <c r="I214" s="117">
        <f t="shared" si="14"/>
        <v>0</v>
      </c>
    </row>
    <row r="215" spans="1:9">
      <c r="A215" s="119">
        <v>122</v>
      </c>
      <c r="B215" s="119">
        <v>17</v>
      </c>
      <c r="C215" s="130" t="s">
        <v>194</v>
      </c>
      <c r="D215" s="106">
        <f>0</f>
        <v>0</v>
      </c>
      <c r="E215" s="106">
        <v>27000</v>
      </c>
      <c r="F215" s="117">
        <f t="shared" si="13"/>
        <v>27000</v>
      </c>
      <c r="G215" s="106">
        <f>0</f>
        <v>0</v>
      </c>
      <c r="H215" s="106">
        <v>27000</v>
      </c>
      <c r="I215" s="117">
        <f t="shared" si="14"/>
        <v>27000</v>
      </c>
    </row>
    <row r="216" spans="1:9">
      <c r="A216" s="119">
        <v>123</v>
      </c>
      <c r="B216" s="119">
        <v>18</v>
      </c>
      <c r="C216" s="130" t="s">
        <v>195</v>
      </c>
      <c r="D216" s="106">
        <f>0</f>
        <v>0</v>
      </c>
      <c r="E216" s="106"/>
      <c r="F216" s="117">
        <f t="shared" si="13"/>
        <v>0</v>
      </c>
      <c r="G216" s="106">
        <f>0</f>
        <v>0</v>
      </c>
      <c r="H216" s="106"/>
      <c r="I216" s="117">
        <f t="shared" si="14"/>
        <v>0</v>
      </c>
    </row>
    <row r="217" spans="1:9">
      <c r="A217" s="119">
        <v>124</v>
      </c>
      <c r="B217" s="119">
        <v>19</v>
      </c>
      <c r="C217" s="130" t="s">
        <v>196</v>
      </c>
      <c r="D217" s="106">
        <f>0</f>
        <v>0</v>
      </c>
      <c r="E217" s="106">
        <v>197000</v>
      </c>
      <c r="F217" s="117">
        <f t="shared" si="13"/>
        <v>197000</v>
      </c>
      <c r="G217" s="106">
        <f>0</f>
        <v>0</v>
      </c>
      <c r="H217" s="106">
        <v>197000</v>
      </c>
      <c r="I217" s="117">
        <f t="shared" si="14"/>
        <v>197000</v>
      </c>
    </row>
    <row r="218" spans="1:9">
      <c r="A218" s="119">
        <v>125</v>
      </c>
      <c r="B218" s="119">
        <v>20</v>
      </c>
      <c r="C218" s="130" t="s">
        <v>197</v>
      </c>
      <c r="D218" s="106"/>
      <c r="E218" s="106"/>
      <c r="F218" s="117">
        <f t="shared" si="13"/>
        <v>0</v>
      </c>
      <c r="G218" s="106"/>
      <c r="H218" s="106"/>
      <c r="I218" s="117">
        <f t="shared" si="14"/>
        <v>0</v>
      </c>
    </row>
    <row r="219" spans="1:9">
      <c r="A219" s="119">
        <v>126</v>
      </c>
      <c r="B219" s="119">
        <v>21</v>
      </c>
      <c r="C219" s="130" t="s">
        <v>198</v>
      </c>
      <c r="D219" s="106"/>
      <c r="E219" s="106">
        <v>145000</v>
      </c>
      <c r="F219" s="117">
        <f t="shared" si="13"/>
        <v>145000</v>
      </c>
      <c r="G219" s="106">
        <v>91000</v>
      </c>
      <c r="H219" s="106">
        <v>145000</v>
      </c>
      <c r="I219" s="117">
        <f t="shared" si="14"/>
        <v>236000</v>
      </c>
    </row>
    <row r="220" spans="1:9">
      <c r="A220" s="119">
        <v>127</v>
      </c>
      <c r="B220" s="119">
        <v>22</v>
      </c>
      <c r="C220" s="130" t="s">
        <v>199</v>
      </c>
      <c r="D220" s="106"/>
      <c r="E220" s="106">
        <v>175000</v>
      </c>
      <c r="F220" s="117">
        <f t="shared" si="13"/>
        <v>175000</v>
      </c>
      <c r="G220" s="106"/>
      <c r="H220" s="106">
        <v>175000</v>
      </c>
      <c r="I220" s="117">
        <f t="shared" si="14"/>
        <v>175000</v>
      </c>
    </row>
    <row r="221" spans="1:9">
      <c r="A221" s="119">
        <v>128</v>
      </c>
      <c r="B221" s="119">
        <v>23</v>
      </c>
      <c r="C221" s="130" t="s">
        <v>200</v>
      </c>
      <c r="D221" s="106"/>
      <c r="E221" s="106"/>
      <c r="F221" s="117">
        <f t="shared" si="13"/>
        <v>0</v>
      </c>
      <c r="G221" s="106"/>
      <c r="H221" s="106"/>
      <c r="I221" s="117">
        <f t="shared" si="14"/>
        <v>0</v>
      </c>
    </row>
    <row r="222" spans="1:9">
      <c r="A222" s="119">
        <v>129</v>
      </c>
      <c r="B222" s="119">
        <v>24</v>
      </c>
      <c r="C222" s="130" t="s">
        <v>201</v>
      </c>
      <c r="D222" s="106">
        <v>79000</v>
      </c>
      <c r="E222" s="106">
        <v>665000</v>
      </c>
      <c r="F222" s="117">
        <f t="shared" si="13"/>
        <v>744000</v>
      </c>
      <c r="G222" s="106">
        <v>79000</v>
      </c>
      <c r="H222" s="106">
        <v>690000</v>
      </c>
      <c r="I222" s="117">
        <f t="shared" si="14"/>
        <v>769000</v>
      </c>
    </row>
    <row r="223" spans="1:9">
      <c r="A223" s="119">
        <v>130</v>
      </c>
      <c r="B223" s="119">
        <v>25</v>
      </c>
      <c r="C223" s="130" t="s">
        <v>202</v>
      </c>
      <c r="D223" s="106">
        <v>353500</v>
      </c>
      <c r="E223" s="106">
        <v>224000</v>
      </c>
      <c r="F223" s="117">
        <f t="shared" si="13"/>
        <v>577500</v>
      </c>
      <c r="G223" s="106">
        <v>353500</v>
      </c>
      <c r="H223" s="106"/>
      <c r="I223" s="117">
        <f t="shared" si="14"/>
        <v>353500</v>
      </c>
    </row>
    <row r="224" spans="1:9">
      <c r="A224" s="119">
        <v>131</v>
      </c>
      <c r="B224" s="119">
        <v>26</v>
      </c>
      <c r="C224" s="130" t="s">
        <v>203</v>
      </c>
      <c r="D224" s="106"/>
      <c r="E224" s="106"/>
      <c r="F224" s="117">
        <f t="shared" si="13"/>
        <v>0</v>
      </c>
      <c r="G224" s="106"/>
      <c r="H224" s="106"/>
      <c r="I224" s="117">
        <f t="shared" si="14"/>
        <v>0</v>
      </c>
    </row>
    <row r="225" spans="1:9">
      <c r="A225" s="119">
        <v>132</v>
      </c>
      <c r="B225" s="119">
        <v>27</v>
      </c>
      <c r="C225" s="130" t="s">
        <v>204</v>
      </c>
      <c r="D225" s="106">
        <v>1000000</v>
      </c>
      <c r="E225" s="106"/>
      <c r="F225" s="117">
        <f t="shared" si="13"/>
        <v>1000000</v>
      </c>
      <c r="G225" s="106">
        <v>1000000</v>
      </c>
      <c r="H225" s="106"/>
      <c r="I225" s="117">
        <f t="shared" si="14"/>
        <v>1000000</v>
      </c>
    </row>
    <row r="226" spans="1:9">
      <c r="A226" s="119">
        <v>133</v>
      </c>
      <c r="B226" s="119">
        <v>28</v>
      </c>
      <c r="C226" s="130" t="s">
        <v>205</v>
      </c>
      <c r="D226" s="106"/>
      <c r="E226" s="106"/>
      <c r="F226" s="117">
        <f t="shared" si="13"/>
        <v>0</v>
      </c>
      <c r="G226" s="106"/>
      <c r="H226" s="106"/>
      <c r="I226" s="117">
        <f t="shared" si="14"/>
        <v>0</v>
      </c>
    </row>
    <row r="227" spans="1:9">
      <c r="A227" s="119">
        <v>134</v>
      </c>
      <c r="B227" s="119">
        <v>29</v>
      </c>
      <c r="C227" s="130" t="s">
        <v>206</v>
      </c>
      <c r="D227" s="106"/>
      <c r="E227" s="106"/>
      <c r="F227" s="117">
        <f t="shared" si="13"/>
        <v>0</v>
      </c>
      <c r="G227" s="106"/>
      <c r="H227" s="106"/>
      <c r="I227" s="117">
        <f t="shared" si="14"/>
        <v>0</v>
      </c>
    </row>
    <row r="228" spans="1:9">
      <c r="A228" s="119">
        <v>135</v>
      </c>
      <c r="B228" s="119">
        <v>30</v>
      </c>
      <c r="C228" s="130" t="s">
        <v>207</v>
      </c>
      <c r="D228" s="106"/>
      <c r="E228" s="106"/>
      <c r="F228" s="117">
        <f t="shared" si="13"/>
        <v>0</v>
      </c>
      <c r="G228" s="106"/>
      <c r="H228" s="106"/>
      <c r="I228" s="117">
        <f t="shared" si="14"/>
        <v>0</v>
      </c>
    </row>
    <row r="229" spans="1:9">
      <c r="A229" s="119">
        <v>136</v>
      </c>
      <c r="B229" s="119">
        <v>31</v>
      </c>
      <c r="C229" s="130" t="s">
        <v>208</v>
      </c>
      <c r="D229" s="106"/>
      <c r="E229" s="106"/>
      <c r="F229" s="117">
        <f t="shared" si="13"/>
        <v>0</v>
      </c>
      <c r="G229" s="106"/>
      <c r="H229" s="106"/>
      <c r="I229" s="117">
        <f t="shared" si="14"/>
        <v>0</v>
      </c>
    </row>
    <row r="230" spans="1:9">
      <c r="A230" s="119">
        <v>137</v>
      </c>
      <c r="B230" s="119">
        <v>32</v>
      </c>
      <c r="C230" s="130" t="s">
        <v>209</v>
      </c>
      <c r="D230" s="106"/>
      <c r="E230" s="106">
        <v>106000</v>
      </c>
      <c r="F230" s="117">
        <f t="shared" si="13"/>
        <v>106000</v>
      </c>
      <c r="G230" s="106"/>
      <c r="H230" s="106">
        <v>114000</v>
      </c>
      <c r="I230" s="117">
        <f t="shared" si="14"/>
        <v>114000</v>
      </c>
    </row>
    <row r="231" spans="1:9">
      <c r="A231" s="119">
        <v>138</v>
      </c>
      <c r="B231" s="119">
        <v>33</v>
      </c>
      <c r="C231" s="130" t="s">
        <v>210</v>
      </c>
      <c r="D231" s="106">
        <v>88000</v>
      </c>
      <c r="E231" s="106"/>
      <c r="F231" s="117">
        <f t="shared" si="13"/>
        <v>88000</v>
      </c>
      <c r="G231" s="106"/>
      <c r="H231" s="106">
        <v>88000</v>
      </c>
      <c r="I231" s="117">
        <f t="shared" si="14"/>
        <v>88000</v>
      </c>
    </row>
    <row r="232" spans="1:9">
      <c r="A232" s="119">
        <v>139</v>
      </c>
      <c r="B232" s="119">
        <v>34</v>
      </c>
      <c r="C232" s="130" t="s">
        <v>211</v>
      </c>
      <c r="D232" s="106"/>
      <c r="E232" s="106"/>
      <c r="F232" s="117">
        <f t="shared" si="13"/>
        <v>0</v>
      </c>
      <c r="G232" s="106"/>
      <c r="H232" s="106"/>
      <c r="I232" s="117">
        <f t="shared" si="14"/>
        <v>0</v>
      </c>
    </row>
    <row r="233" spans="1:9">
      <c r="A233" s="119">
        <v>140</v>
      </c>
      <c r="B233" s="119">
        <v>35</v>
      </c>
      <c r="C233" s="130" t="s">
        <v>212</v>
      </c>
      <c r="D233" s="106"/>
      <c r="E233" s="106"/>
      <c r="F233" s="117">
        <f t="shared" si="13"/>
        <v>0</v>
      </c>
      <c r="G233" s="106"/>
      <c r="H233" s="106"/>
      <c r="I233" s="117">
        <f t="shared" si="14"/>
        <v>0</v>
      </c>
    </row>
    <row r="234" spans="1:9">
      <c r="A234" s="119">
        <v>141</v>
      </c>
      <c r="B234" s="119">
        <v>36</v>
      </c>
      <c r="C234" s="130" t="s">
        <v>213</v>
      </c>
      <c r="D234" s="106"/>
      <c r="E234" s="106"/>
      <c r="F234" s="117">
        <f t="shared" si="13"/>
        <v>0</v>
      </c>
      <c r="G234" s="106"/>
      <c r="H234" s="106"/>
      <c r="I234" s="117">
        <f t="shared" si="14"/>
        <v>0</v>
      </c>
    </row>
    <row r="235" spans="1:9">
      <c r="A235" s="119">
        <v>142</v>
      </c>
      <c r="B235" s="119">
        <v>37</v>
      </c>
      <c r="C235" s="130" t="s">
        <v>214</v>
      </c>
      <c r="D235" s="106"/>
      <c r="E235" s="106"/>
      <c r="F235" s="117">
        <f t="shared" si="13"/>
        <v>0</v>
      </c>
      <c r="G235" s="106"/>
      <c r="H235" s="106"/>
      <c r="I235" s="117">
        <f t="shared" si="14"/>
        <v>0</v>
      </c>
    </row>
    <row r="236" spans="1:9">
      <c r="A236" s="119">
        <v>143</v>
      </c>
      <c r="B236" s="119">
        <v>38</v>
      </c>
      <c r="C236" s="130" t="s">
        <v>215</v>
      </c>
      <c r="D236" s="106"/>
      <c r="E236" s="106"/>
      <c r="F236" s="117">
        <f t="shared" si="13"/>
        <v>0</v>
      </c>
      <c r="G236" s="106"/>
      <c r="H236" s="106"/>
      <c r="I236" s="117">
        <f t="shared" si="14"/>
        <v>0</v>
      </c>
    </row>
    <row r="237" spans="1:9">
      <c r="A237" s="119">
        <v>144</v>
      </c>
      <c r="B237" s="119">
        <v>39</v>
      </c>
      <c r="C237" s="130" t="s">
        <v>216</v>
      </c>
      <c r="D237" s="106"/>
      <c r="E237" s="106">
        <v>350000</v>
      </c>
      <c r="F237" s="117">
        <f t="shared" si="13"/>
        <v>350000</v>
      </c>
      <c r="G237" s="106"/>
      <c r="H237" s="106">
        <v>350000</v>
      </c>
      <c r="I237" s="117">
        <f t="shared" si="14"/>
        <v>350000</v>
      </c>
    </row>
    <row r="238" spans="1:9">
      <c r="A238" s="119">
        <v>145</v>
      </c>
      <c r="B238" s="119">
        <v>40</v>
      </c>
      <c r="C238" s="130" t="s">
        <v>217</v>
      </c>
      <c r="D238" s="106"/>
      <c r="E238" s="106"/>
      <c r="F238" s="117">
        <f t="shared" si="13"/>
        <v>0</v>
      </c>
      <c r="G238" s="106"/>
      <c r="H238" s="106"/>
      <c r="I238" s="117">
        <f t="shared" si="14"/>
        <v>0</v>
      </c>
    </row>
    <row r="239" spans="1:9">
      <c r="A239" s="119">
        <v>146</v>
      </c>
      <c r="B239" s="119">
        <v>41</v>
      </c>
      <c r="C239" s="130" t="s">
        <v>218</v>
      </c>
      <c r="D239" s="106"/>
      <c r="E239" s="106">
        <v>750000</v>
      </c>
      <c r="F239" s="117">
        <f t="shared" si="13"/>
        <v>750000</v>
      </c>
      <c r="G239" s="106"/>
      <c r="H239" s="106"/>
      <c r="I239" s="117">
        <f t="shared" si="14"/>
        <v>0</v>
      </c>
    </row>
    <row r="240" spans="1:9">
      <c r="A240" s="119">
        <v>147</v>
      </c>
      <c r="B240" s="119">
        <v>42</v>
      </c>
      <c r="C240" s="130" t="s">
        <v>219</v>
      </c>
      <c r="D240" s="106"/>
      <c r="E240" s="106"/>
      <c r="F240" s="117">
        <f t="shared" si="13"/>
        <v>0</v>
      </c>
      <c r="G240" s="106"/>
      <c r="H240" s="106"/>
      <c r="I240" s="117">
        <f t="shared" si="14"/>
        <v>0</v>
      </c>
    </row>
    <row r="241" spans="1:9">
      <c r="A241" s="119">
        <v>148</v>
      </c>
      <c r="B241" s="119">
        <v>43</v>
      </c>
      <c r="C241" s="130" t="s">
        <v>220</v>
      </c>
      <c r="D241" s="106">
        <v>400000</v>
      </c>
      <c r="E241" s="106"/>
      <c r="F241" s="117">
        <f t="shared" si="13"/>
        <v>400000</v>
      </c>
      <c r="G241" s="106"/>
      <c r="H241" s="106"/>
      <c r="I241" s="117">
        <f t="shared" si="14"/>
        <v>0</v>
      </c>
    </row>
    <row r="242" spans="1:9">
      <c r="A242" s="119">
        <v>149</v>
      </c>
      <c r="B242" s="119">
        <v>44</v>
      </c>
      <c r="C242" s="130" t="s">
        <v>221</v>
      </c>
      <c r="D242" s="106"/>
      <c r="E242" s="106"/>
      <c r="F242" s="117">
        <f t="shared" si="13"/>
        <v>0</v>
      </c>
      <c r="G242" s="106">
        <v>1000000</v>
      </c>
      <c r="H242" s="106"/>
      <c r="I242" s="117">
        <f t="shared" si="14"/>
        <v>1000000</v>
      </c>
    </row>
    <row r="243" spans="1:9">
      <c r="A243" s="119">
        <v>150</v>
      </c>
      <c r="B243" s="119">
        <v>45</v>
      </c>
      <c r="C243" s="130" t="s">
        <v>222</v>
      </c>
      <c r="D243" s="106"/>
      <c r="E243" s="106"/>
      <c r="F243" s="117">
        <f t="shared" si="13"/>
        <v>0</v>
      </c>
      <c r="G243" s="106">
        <v>3000000</v>
      </c>
      <c r="H243" s="106"/>
      <c r="I243" s="117">
        <f t="shared" si="14"/>
        <v>3000000</v>
      </c>
    </row>
    <row r="244" spans="1:9">
      <c r="A244" s="119">
        <v>151</v>
      </c>
      <c r="B244" s="119">
        <v>46</v>
      </c>
      <c r="C244" s="130" t="s">
        <v>306</v>
      </c>
      <c r="D244" s="106"/>
      <c r="E244" s="106"/>
      <c r="F244" s="117">
        <f t="shared" si="13"/>
        <v>0</v>
      </c>
      <c r="G244" s="106">
        <v>1500000</v>
      </c>
      <c r="H244" s="106"/>
      <c r="I244" s="117">
        <f t="shared" si="14"/>
        <v>1500000</v>
      </c>
    </row>
    <row r="245" spans="1:9">
      <c r="A245" s="119">
        <v>152</v>
      </c>
      <c r="B245" s="119">
        <v>47</v>
      </c>
      <c r="C245" s="130" t="s">
        <v>281</v>
      </c>
      <c r="D245" s="106">
        <v>350000</v>
      </c>
      <c r="E245" s="106"/>
      <c r="F245" s="117">
        <f t="shared" si="13"/>
        <v>350000</v>
      </c>
      <c r="G245" s="106">
        <v>350000</v>
      </c>
      <c r="H245" s="106"/>
      <c r="I245" s="117">
        <f t="shared" si="14"/>
        <v>350000</v>
      </c>
    </row>
    <row r="246" spans="1:9">
      <c r="A246" s="119">
        <v>153</v>
      </c>
      <c r="B246" s="119">
        <v>48</v>
      </c>
      <c r="C246" s="130" t="s">
        <v>347</v>
      </c>
      <c r="D246" s="106">
        <v>1000000</v>
      </c>
      <c r="E246" s="106"/>
      <c r="F246" s="117">
        <f>0</f>
        <v>0</v>
      </c>
      <c r="G246" s="106">
        <v>1000000</v>
      </c>
      <c r="H246" s="106"/>
      <c r="I246" s="117">
        <f t="shared" si="14"/>
        <v>1000000</v>
      </c>
    </row>
    <row r="247" spans="1:9">
      <c r="A247" s="119">
        <v>154</v>
      </c>
      <c r="B247" s="119">
        <v>49</v>
      </c>
      <c r="C247" s="130" t="s">
        <v>348</v>
      </c>
      <c r="D247" s="106">
        <v>1000000</v>
      </c>
      <c r="E247" s="106"/>
      <c r="F247" s="117">
        <f>0</f>
        <v>0</v>
      </c>
      <c r="G247" s="106">
        <v>500000</v>
      </c>
      <c r="H247" s="106"/>
      <c r="I247" s="117">
        <f t="shared" si="14"/>
        <v>500000</v>
      </c>
    </row>
    <row r="248" spans="1:9">
      <c r="A248" s="119">
        <v>155</v>
      </c>
      <c r="B248" s="119">
        <v>50</v>
      </c>
      <c r="C248" s="130" t="s">
        <v>374</v>
      </c>
      <c r="D248" s="106">
        <v>1700000</v>
      </c>
      <c r="E248" s="106"/>
      <c r="F248" s="117">
        <f>0</f>
        <v>0</v>
      </c>
      <c r="G248" s="106">
        <v>1700000</v>
      </c>
      <c r="H248" s="106"/>
      <c r="I248" s="117">
        <f t="shared" si="14"/>
        <v>1700000</v>
      </c>
    </row>
    <row r="249" spans="1:9">
      <c r="A249" s="119">
        <v>156</v>
      </c>
      <c r="B249" s="119">
        <v>51</v>
      </c>
      <c r="C249" s="130" t="s">
        <v>375</v>
      </c>
      <c r="D249" s="106">
        <f>0</f>
        <v>0</v>
      </c>
      <c r="E249" s="106">
        <f>0</f>
        <v>0</v>
      </c>
      <c r="F249" s="117">
        <f>0</f>
        <v>0</v>
      </c>
      <c r="G249" s="106">
        <f>0</f>
        <v>0</v>
      </c>
      <c r="H249" s="106">
        <f>0</f>
        <v>0</v>
      </c>
      <c r="I249" s="117">
        <f t="shared" si="14"/>
        <v>0</v>
      </c>
    </row>
    <row r="250" spans="1:9">
      <c r="A250" s="119">
        <v>157</v>
      </c>
      <c r="B250" s="119">
        <v>52</v>
      </c>
      <c r="C250" s="130" t="s">
        <v>224</v>
      </c>
      <c r="D250" s="106">
        <f>0</f>
        <v>0</v>
      </c>
      <c r="E250" s="106">
        <f>0</f>
        <v>0</v>
      </c>
      <c r="F250" s="117">
        <f>SUM(D250:E250)</f>
        <v>0</v>
      </c>
      <c r="G250" s="106">
        <f>0</f>
        <v>0</v>
      </c>
      <c r="H250" s="106">
        <f>0</f>
        <v>0</v>
      </c>
      <c r="I250" s="117">
        <f t="shared" si="14"/>
        <v>0</v>
      </c>
    </row>
    <row r="251" spans="1:9">
      <c r="A251" s="119">
        <v>158</v>
      </c>
      <c r="B251" s="119">
        <v>53</v>
      </c>
      <c r="C251" s="131" t="s">
        <v>225</v>
      </c>
      <c r="D251" s="106">
        <v>860000</v>
      </c>
      <c r="E251" s="106">
        <f>0</f>
        <v>0</v>
      </c>
      <c r="F251" s="117">
        <f>SUM(D251:E251)</f>
        <v>860000</v>
      </c>
      <c r="G251" s="106">
        <v>860000</v>
      </c>
      <c r="H251" s="106">
        <f>0</f>
        <v>0</v>
      </c>
      <c r="I251" s="117">
        <f t="shared" si="14"/>
        <v>860000</v>
      </c>
    </row>
    <row r="252" spans="1:9">
      <c r="A252" s="132" t="s">
        <v>58</v>
      </c>
      <c r="B252" s="132"/>
      <c r="C252" s="132"/>
      <c r="D252" s="110">
        <f>SUM(D199:D251)</f>
        <v>7528501</v>
      </c>
      <c r="E252" s="110">
        <f>SUM(E199:E251)</f>
        <v>3505600</v>
      </c>
      <c r="F252" s="110">
        <f>SUM(D252:E252)</f>
        <v>11034101</v>
      </c>
      <c r="G252" s="110">
        <f>SUM(G199:G251)</f>
        <v>14685515</v>
      </c>
      <c r="H252" s="110">
        <f>SUM(H199:H251)</f>
        <v>4912700</v>
      </c>
      <c r="I252" s="110">
        <f>SUM(G252:H252)</f>
        <v>19598215</v>
      </c>
    </row>
    <row r="253" spans="1:9">
      <c r="A253" s="108" t="s">
        <v>226</v>
      </c>
      <c r="B253" s="109"/>
      <c r="C253" s="109"/>
      <c r="D253" s="109"/>
      <c r="E253" s="109"/>
      <c r="F253" s="109"/>
      <c r="G253" s="109"/>
      <c r="H253" s="109"/>
      <c r="I253" s="113"/>
    </row>
    <row r="254" spans="1:9">
      <c r="A254" s="119">
        <v>159</v>
      </c>
      <c r="B254" s="119">
        <v>1</v>
      </c>
      <c r="C254" s="125" t="s">
        <v>227</v>
      </c>
      <c r="D254" s="106">
        <v>1133288</v>
      </c>
      <c r="E254" s="106">
        <v>30000</v>
      </c>
      <c r="F254" s="117">
        <f>SUM(D254:E254)</f>
        <v>1163288</v>
      </c>
      <c r="G254" s="106">
        <v>1133280</v>
      </c>
      <c r="H254" s="106">
        <v>30000</v>
      </c>
      <c r="I254" s="117">
        <f>SUM(G254:H254)</f>
        <v>1163280</v>
      </c>
    </row>
    <row r="255" spans="1:9">
      <c r="A255" s="108" t="s">
        <v>101</v>
      </c>
      <c r="B255" s="109"/>
      <c r="C255" s="109"/>
      <c r="D255" s="110">
        <f>D254</f>
        <v>1133288</v>
      </c>
      <c r="E255" s="110">
        <f>E254</f>
        <v>30000</v>
      </c>
      <c r="F255" s="110">
        <f>SUM(D255:E255)</f>
        <v>1163288</v>
      </c>
      <c r="G255" s="110">
        <f>G254</f>
        <v>1133280</v>
      </c>
      <c r="H255" s="110">
        <f>H254</f>
        <v>30000</v>
      </c>
      <c r="I255" s="110">
        <f>SUM(G255:H255)</f>
        <v>1163280</v>
      </c>
    </row>
    <row r="256" spans="1:9">
      <c r="A256" s="108" t="s">
        <v>228</v>
      </c>
      <c r="B256" s="109"/>
      <c r="C256" s="109"/>
      <c r="D256" s="109"/>
      <c r="E256" s="109"/>
      <c r="F256" s="109"/>
      <c r="G256" s="109"/>
      <c r="H256" s="109"/>
      <c r="I256" s="113"/>
    </row>
    <row r="257" spans="1:9">
      <c r="A257" s="119">
        <v>160</v>
      </c>
      <c r="B257" s="119">
        <v>1</v>
      </c>
      <c r="C257" s="133" t="s">
        <v>229</v>
      </c>
      <c r="D257" s="106">
        <f>0</f>
        <v>0</v>
      </c>
      <c r="E257" s="134">
        <f>0</f>
        <v>0</v>
      </c>
      <c r="F257" s="117">
        <f>SUM(D257:E257)</f>
        <v>0</v>
      </c>
      <c r="G257" s="106">
        <f>0</f>
        <v>0</v>
      </c>
      <c r="H257" s="134">
        <f>0</f>
        <v>0</v>
      </c>
      <c r="I257" s="117">
        <f>SUM(G257:H257)</f>
        <v>0</v>
      </c>
    </row>
    <row r="258" spans="1:9">
      <c r="A258" s="119">
        <v>161</v>
      </c>
      <c r="B258" s="119">
        <v>2</v>
      </c>
      <c r="C258" s="220" t="s">
        <v>429</v>
      </c>
      <c r="D258" s="106">
        <f>0</f>
        <v>0</v>
      </c>
      <c r="E258" s="134">
        <f>1500000</f>
        <v>1500000</v>
      </c>
      <c r="F258" s="117">
        <f>SUM(D258:E258)</f>
        <v>1500000</v>
      </c>
      <c r="G258" s="106">
        <f>0</f>
        <v>0</v>
      </c>
      <c r="H258" s="134">
        <f>1500000</f>
        <v>1500000</v>
      </c>
      <c r="I258" s="117">
        <f>G258+H258</f>
        <v>1500000</v>
      </c>
    </row>
    <row r="259" spans="1:9">
      <c r="A259" s="108" t="s">
        <v>101</v>
      </c>
      <c r="B259" s="109"/>
      <c r="C259" s="109"/>
      <c r="D259" s="110">
        <f>SUM(D257:D258)</f>
        <v>0</v>
      </c>
      <c r="E259" s="110">
        <f>SUM(E257:E258)</f>
        <v>1500000</v>
      </c>
      <c r="F259" s="110">
        <f>SUM(D259:E259)</f>
        <v>1500000</v>
      </c>
      <c r="G259" s="110">
        <f>SUM(G257:G258)</f>
        <v>0</v>
      </c>
      <c r="H259" s="110">
        <f>SUM(H257:H258)</f>
        <v>1500000</v>
      </c>
      <c r="I259" s="110">
        <f>SUM(G259:H259)</f>
        <v>1500000</v>
      </c>
    </row>
    <row r="260" spans="1:9">
      <c r="A260" s="108" t="s">
        <v>230</v>
      </c>
      <c r="B260" s="109"/>
      <c r="C260" s="109"/>
      <c r="D260" s="109"/>
      <c r="E260" s="109"/>
      <c r="F260" s="109"/>
      <c r="G260" s="109"/>
      <c r="H260" s="109"/>
      <c r="I260" s="113"/>
    </row>
    <row r="261" spans="1:9">
      <c r="A261" s="119">
        <v>162</v>
      </c>
      <c r="B261" s="119">
        <v>1</v>
      </c>
      <c r="C261" s="120" t="s">
        <v>231</v>
      </c>
      <c r="D261" s="106">
        <f>0</f>
        <v>0</v>
      </c>
      <c r="E261" s="106">
        <f>71817000+188000</f>
        <v>72005000</v>
      </c>
      <c r="F261" s="117">
        <f>SUM(D261:E261)</f>
        <v>72005000</v>
      </c>
      <c r="G261" s="106">
        <f>0</f>
        <v>0</v>
      </c>
      <c r="H261" s="106"/>
      <c r="I261" s="117">
        <f>SUM(G261:H261)</f>
        <v>0</v>
      </c>
    </row>
    <row r="262" spans="1:9">
      <c r="A262" s="119">
        <v>163</v>
      </c>
      <c r="B262" s="119">
        <v>2</v>
      </c>
      <c r="C262" s="120" t="s">
        <v>232</v>
      </c>
      <c r="D262" s="106">
        <f>0</f>
        <v>0</v>
      </c>
      <c r="E262" s="106">
        <f>0</f>
        <v>0</v>
      </c>
      <c r="F262" s="117">
        <f t="shared" ref="F262:F281" si="15">SUM(D262:E262)</f>
        <v>0</v>
      </c>
      <c r="G262" s="106">
        <f>0</f>
        <v>0</v>
      </c>
      <c r="H262" s="106">
        <f>0</f>
        <v>0</v>
      </c>
      <c r="I262" s="117">
        <f t="shared" ref="I262:I280" si="16">SUM(G262:H262)</f>
        <v>0</v>
      </c>
    </row>
    <row r="263" spans="1:9">
      <c r="A263" s="119">
        <v>164</v>
      </c>
      <c r="B263" s="119">
        <v>3</v>
      </c>
      <c r="C263" s="199" t="s">
        <v>307</v>
      </c>
      <c r="D263" s="106">
        <f>0</f>
        <v>0</v>
      </c>
      <c r="E263" s="106">
        <f>0</f>
        <v>0</v>
      </c>
      <c r="F263" s="117">
        <f t="shared" si="15"/>
        <v>0</v>
      </c>
      <c r="G263" s="106">
        <f>0</f>
        <v>0</v>
      </c>
      <c r="H263" s="106">
        <f>0</f>
        <v>0</v>
      </c>
      <c r="I263" s="117">
        <f t="shared" si="16"/>
        <v>0</v>
      </c>
    </row>
    <row r="264" spans="1:9">
      <c r="A264" s="119">
        <v>165</v>
      </c>
      <c r="B264" s="119">
        <v>4</v>
      </c>
      <c r="C264" s="133" t="s">
        <v>233</v>
      </c>
      <c r="D264" s="106">
        <f>65000+50000+17646+10048+10350+10760+10122+200000+88000+500000</f>
        <v>961926</v>
      </c>
      <c r="E264" s="106">
        <f>0</f>
        <v>0</v>
      </c>
      <c r="F264" s="117">
        <f t="shared" si="15"/>
        <v>961926</v>
      </c>
      <c r="G264" s="106">
        <f>150000+150000+400000+270000</f>
        <v>970000</v>
      </c>
      <c r="H264" s="106">
        <f>400000+50000</f>
        <v>450000</v>
      </c>
      <c r="I264" s="117">
        <f t="shared" si="16"/>
        <v>1420000</v>
      </c>
    </row>
    <row r="265" spans="1:9">
      <c r="A265" s="119">
        <v>166</v>
      </c>
      <c r="B265" s="119">
        <v>5</v>
      </c>
      <c r="C265" s="133" t="s">
        <v>234</v>
      </c>
      <c r="D265" s="106">
        <v>120000</v>
      </c>
      <c r="E265" s="106">
        <f>0</f>
        <v>0</v>
      </c>
      <c r="F265" s="117">
        <f t="shared" si="15"/>
        <v>120000</v>
      </c>
      <c r="G265" s="106">
        <v>120000</v>
      </c>
      <c r="H265" s="106">
        <f>0</f>
        <v>0</v>
      </c>
      <c r="I265" s="117">
        <f t="shared" si="16"/>
        <v>120000</v>
      </c>
    </row>
    <row r="266" spans="1:9" ht="39">
      <c r="A266" s="119">
        <v>167</v>
      </c>
      <c r="B266" s="119">
        <v>6</v>
      </c>
      <c r="C266" s="135" t="s">
        <v>376</v>
      </c>
      <c r="D266" s="106">
        <v>1000000</v>
      </c>
      <c r="E266" s="106">
        <f>0</f>
        <v>0</v>
      </c>
      <c r="F266" s="117">
        <f t="shared" si="15"/>
        <v>1000000</v>
      </c>
      <c r="G266" s="106"/>
      <c r="H266" s="106">
        <f>0</f>
        <v>0</v>
      </c>
      <c r="I266" s="117">
        <f t="shared" si="16"/>
        <v>0</v>
      </c>
    </row>
    <row r="267" spans="1:9">
      <c r="A267" s="119">
        <v>168</v>
      </c>
      <c r="B267" s="119">
        <v>7</v>
      </c>
      <c r="C267" s="135" t="s">
        <v>430</v>
      </c>
      <c r="D267" s="106">
        <v>268000</v>
      </c>
      <c r="E267" s="106">
        <f>0</f>
        <v>0</v>
      </c>
      <c r="F267" s="117">
        <f t="shared" si="15"/>
        <v>268000</v>
      </c>
      <c r="G267" s="106"/>
      <c r="H267" s="106">
        <f>0</f>
        <v>0</v>
      </c>
      <c r="I267" s="117">
        <f t="shared" si="16"/>
        <v>0</v>
      </c>
    </row>
    <row r="268" spans="1:9" ht="26.25">
      <c r="A268" s="119">
        <v>169</v>
      </c>
      <c r="B268" s="119">
        <v>8</v>
      </c>
      <c r="C268" s="135" t="s">
        <v>432</v>
      </c>
      <c r="D268" s="106">
        <v>76000</v>
      </c>
      <c r="E268" s="106">
        <f>0</f>
        <v>0</v>
      </c>
      <c r="F268" s="117">
        <f t="shared" si="15"/>
        <v>76000</v>
      </c>
      <c r="G268" s="106"/>
      <c r="H268" s="106">
        <f>0</f>
        <v>0</v>
      </c>
      <c r="I268" s="117">
        <f>SUM(G268:H268)</f>
        <v>0</v>
      </c>
    </row>
    <row r="269" spans="1:9" ht="26.25">
      <c r="A269" s="119">
        <v>170</v>
      </c>
      <c r="B269" s="119">
        <v>9</v>
      </c>
      <c r="C269" s="135" t="s">
        <v>238</v>
      </c>
      <c r="D269" s="106">
        <v>1363000</v>
      </c>
      <c r="E269" s="106">
        <f>0</f>
        <v>0</v>
      </c>
      <c r="F269" s="117">
        <f t="shared" si="15"/>
        <v>1363000</v>
      </c>
      <c r="G269" s="106"/>
      <c r="H269" s="106">
        <f>0</f>
        <v>0</v>
      </c>
      <c r="I269" s="117">
        <f t="shared" si="16"/>
        <v>0</v>
      </c>
    </row>
    <row r="270" spans="1:9" ht="39">
      <c r="A270" s="119">
        <v>171</v>
      </c>
      <c r="B270" s="119">
        <v>10</v>
      </c>
      <c r="C270" s="135" t="s">
        <v>442</v>
      </c>
      <c r="D270" s="106">
        <v>10000</v>
      </c>
      <c r="E270" s="106">
        <f>0</f>
        <v>0</v>
      </c>
      <c r="F270" s="117">
        <f t="shared" si="15"/>
        <v>10000</v>
      </c>
      <c r="G270" s="106">
        <v>12500</v>
      </c>
      <c r="H270" s="106">
        <f>0</f>
        <v>0</v>
      </c>
      <c r="I270" s="117">
        <f t="shared" si="16"/>
        <v>12500</v>
      </c>
    </row>
    <row r="271" spans="1:9" ht="39">
      <c r="A271" s="119">
        <v>172</v>
      </c>
      <c r="B271" s="119">
        <v>11</v>
      </c>
      <c r="C271" s="135" t="s">
        <v>498</v>
      </c>
      <c r="D271" s="106">
        <f>100000</f>
        <v>100000</v>
      </c>
      <c r="E271" s="106">
        <f>0</f>
        <v>0</v>
      </c>
      <c r="F271" s="117">
        <f t="shared" si="15"/>
        <v>100000</v>
      </c>
      <c r="G271" s="106"/>
      <c r="H271" s="106">
        <f>0</f>
        <v>0</v>
      </c>
      <c r="I271" s="117">
        <f t="shared" si="16"/>
        <v>0</v>
      </c>
    </row>
    <row r="272" spans="1:9" ht="26.25">
      <c r="A272" s="119">
        <v>173</v>
      </c>
      <c r="B272" s="119">
        <v>12</v>
      </c>
      <c r="C272" s="135" t="s">
        <v>236</v>
      </c>
      <c r="D272" s="106"/>
      <c r="E272" s="106"/>
      <c r="F272" s="117"/>
      <c r="G272" s="106">
        <v>400000</v>
      </c>
      <c r="H272" s="106"/>
      <c r="I272" s="117">
        <f>SUM(G272:H272)</f>
        <v>400000</v>
      </c>
    </row>
    <row r="273" spans="1:9" ht="51.75">
      <c r="A273" s="119">
        <v>174</v>
      </c>
      <c r="B273" s="119">
        <v>13</v>
      </c>
      <c r="C273" s="135" t="s">
        <v>523</v>
      </c>
      <c r="D273" s="106"/>
      <c r="E273" s="106"/>
      <c r="F273" s="117"/>
      <c r="G273" s="106">
        <v>600000</v>
      </c>
      <c r="H273" s="106"/>
      <c r="I273" s="117">
        <f>SUM(G273:H273)</f>
        <v>600000</v>
      </c>
    </row>
    <row r="274" spans="1:9" ht="26.25">
      <c r="A274" s="119">
        <v>175</v>
      </c>
      <c r="B274" s="119">
        <v>14</v>
      </c>
      <c r="C274" s="135" t="s">
        <v>524</v>
      </c>
      <c r="D274" s="106"/>
      <c r="E274" s="106"/>
      <c r="F274" s="117"/>
      <c r="G274" s="106"/>
      <c r="H274" s="106">
        <v>200000</v>
      </c>
      <c r="I274" s="117">
        <f>SUM(G274:H274)</f>
        <v>200000</v>
      </c>
    </row>
    <row r="275" spans="1:9">
      <c r="A275" s="119">
        <v>176</v>
      </c>
      <c r="B275" s="119">
        <v>15</v>
      </c>
      <c r="C275" s="135" t="s">
        <v>525</v>
      </c>
      <c r="D275" s="106"/>
      <c r="E275" s="106"/>
      <c r="F275" s="117"/>
      <c r="G275" s="106"/>
      <c r="H275" s="106">
        <v>300000</v>
      </c>
      <c r="I275" s="117">
        <f>SUM(G275:H275)</f>
        <v>300000</v>
      </c>
    </row>
    <row r="276" spans="1:9" ht="39">
      <c r="A276" s="119">
        <v>177</v>
      </c>
      <c r="B276" s="119">
        <v>16</v>
      </c>
      <c r="C276" s="135" t="s">
        <v>499</v>
      </c>
      <c r="D276" s="106">
        <f>0</f>
        <v>0</v>
      </c>
      <c r="E276" s="106">
        <f>250000+200000</f>
        <v>450000</v>
      </c>
      <c r="F276" s="117">
        <f t="shared" si="15"/>
        <v>450000</v>
      </c>
      <c r="G276" s="106">
        <f>0</f>
        <v>0</v>
      </c>
      <c r="H276" s="106"/>
      <c r="I276" s="117">
        <f t="shared" si="16"/>
        <v>0</v>
      </c>
    </row>
    <row r="277" spans="1:9" ht="26.25">
      <c r="A277" s="119">
        <v>178</v>
      </c>
      <c r="B277" s="119">
        <v>17</v>
      </c>
      <c r="C277" s="135" t="s">
        <v>282</v>
      </c>
      <c r="D277" s="106">
        <f>0</f>
        <v>0</v>
      </c>
      <c r="E277" s="106">
        <f>0</f>
        <v>0</v>
      </c>
      <c r="F277" s="117">
        <f>SUM(D277:E277)</f>
        <v>0</v>
      </c>
      <c r="G277" s="106">
        <v>100000</v>
      </c>
      <c r="H277" s="106">
        <f>0</f>
        <v>0</v>
      </c>
      <c r="I277" s="117">
        <f t="shared" si="16"/>
        <v>100000</v>
      </c>
    </row>
    <row r="278" spans="1:9" ht="26.25">
      <c r="A278" s="119">
        <v>179</v>
      </c>
      <c r="B278" s="119">
        <v>18</v>
      </c>
      <c r="C278" s="135" t="s">
        <v>283</v>
      </c>
      <c r="D278" s="106">
        <f>0</f>
        <v>0</v>
      </c>
      <c r="E278" s="106">
        <f>0</f>
        <v>0</v>
      </c>
      <c r="F278" s="117">
        <f>SUM(D278:E278)</f>
        <v>0</v>
      </c>
      <c r="G278" s="106">
        <v>350000</v>
      </c>
      <c r="H278" s="106">
        <f>0</f>
        <v>0</v>
      </c>
      <c r="I278" s="117">
        <f>SUM(G278:H278)</f>
        <v>350000</v>
      </c>
    </row>
    <row r="279" spans="1:9" ht="26.25">
      <c r="A279" s="119">
        <v>180</v>
      </c>
      <c r="B279" s="119">
        <v>19</v>
      </c>
      <c r="C279" s="135" t="s">
        <v>235</v>
      </c>
      <c r="D279" s="106">
        <f>0</f>
        <v>0</v>
      </c>
      <c r="E279" s="106">
        <f>0</f>
        <v>0</v>
      </c>
      <c r="F279" s="117">
        <f>SUM(D279:E279)</f>
        <v>0</v>
      </c>
      <c r="G279" s="106">
        <v>120000</v>
      </c>
      <c r="H279" s="106">
        <f>0</f>
        <v>0</v>
      </c>
      <c r="I279" s="117">
        <f>SUM(G279:H279)</f>
        <v>120000</v>
      </c>
    </row>
    <row r="280" spans="1:9">
      <c r="A280" s="119">
        <v>181</v>
      </c>
      <c r="B280" s="119">
        <v>20</v>
      </c>
      <c r="C280" s="133" t="s">
        <v>252</v>
      </c>
      <c r="D280" s="106">
        <f>0</f>
        <v>0</v>
      </c>
      <c r="E280" s="106">
        <f>0</f>
        <v>0</v>
      </c>
      <c r="F280" s="117">
        <f t="shared" si="15"/>
        <v>0</v>
      </c>
      <c r="G280" s="106">
        <f>0</f>
        <v>0</v>
      </c>
      <c r="H280" s="106">
        <f>0</f>
        <v>0</v>
      </c>
      <c r="I280" s="117">
        <f t="shared" si="16"/>
        <v>0</v>
      </c>
    </row>
    <row r="281" spans="1:9" ht="15.75" thickBot="1">
      <c r="A281" s="137" t="s">
        <v>101</v>
      </c>
      <c r="B281" s="138"/>
      <c r="C281" s="139"/>
      <c r="D281" s="140">
        <f>SUM(D261:D280)</f>
        <v>3898926</v>
      </c>
      <c r="E281" s="140">
        <f>SUM(E261:E280)</f>
        <v>72455000</v>
      </c>
      <c r="F281" s="140">
        <f t="shared" si="15"/>
        <v>76353926</v>
      </c>
      <c r="G281" s="140">
        <f>SUM(G261:G280)</f>
        <v>2672500</v>
      </c>
      <c r="H281" s="140">
        <f>SUM(H261:H280)</f>
        <v>950000</v>
      </c>
      <c r="I281" s="140">
        <f>SUM(G281:H281)</f>
        <v>3622500</v>
      </c>
    </row>
    <row r="282" spans="1:9" ht="16.5" thickTop="1" thickBot="1">
      <c r="A282" s="141" t="s">
        <v>253</v>
      </c>
      <c r="B282" s="142"/>
      <c r="C282" s="142"/>
      <c r="D282" s="143">
        <f>D281+D259+D255+D252+D197+D172+D150+D128+D125+D122+D116+D105+D89+D77+D74</f>
        <v>116890787</v>
      </c>
      <c r="E282" s="143">
        <f>E281+E259+E255+E252+E197+E172+E150+E128+E125+E122+E116+E105+E89+E77+E74</f>
        <v>116971934</v>
      </c>
      <c r="F282" s="143">
        <f>SUM(D282:E282)</f>
        <v>233862721</v>
      </c>
      <c r="G282" s="143">
        <f>G281+G259+G255+G252+G197+G172+G150+G128+G125+G122+G116+G105+G89+G77+G74</f>
        <v>161292527</v>
      </c>
      <c r="H282" s="143">
        <f>H281+H259+H255+H252+H197+H172+H150+H128+H125+H122+H116+H105+H89+H77+H74</f>
        <v>56500814</v>
      </c>
      <c r="I282" s="143">
        <f>SUM(G282:H282)</f>
        <v>217793341</v>
      </c>
    </row>
    <row r="283" spans="1:9" ht="15.75" thickTop="1">
      <c r="A283" s="83"/>
      <c r="B283" s="83"/>
      <c r="C283" s="83"/>
      <c r="D283" s="83"/>
      <c r="E283" s="83"/>
      <c r="F283" s="83"/>
      <c r="G283" s="83"/>
      <c r="H283" s="83"/>
      <c r="I283" s="83"/>
    </row>
    <row r="284" spans="1:9">
      <c r="A284" s="144"/>
      <c r="B284" s="145"/>
      <c r="C284" s="145"/>
      <c r="D284" s="145"/>
      <c r="E284" s="145"/>
      <c r="F284" s="145"/>
      <c r="G284" s="145"/>
      <c r="H284" s="145"/>
      <c r="I284" s="145"/>
    </row>
    <row r="285" spans="1:9">
      <c r="A285" s="146" t="s">
        <v>254</v>
      </c>
      <c r="B285" s="146"/>
      <c r="C285" s="146"/>
      <c r="D285" s="146"/>
      <c r="E285" s="146"/>
      <c r="F285" s="146"/>
      <c r="G285" s="146"/>
      <c r="H285" s="146"/>
      <c r="I285" s="146"/>
    </row>
    <row r="286" spans="1:9">
      <c r="A286" s="144"/>
      <c r="B286" s="147" t="s">
        <v>526</v>
      </c>
      <c r="C286" s="147"/>
      <c r="D286" s="147"/>
      <c r="E286" s="147"/>
      <c r="F286" s="147"/>
      <c r="G286" s="147"/>
      <c r="H286" s="147"/>
      <c r="I286" s="147"/>
    </row>
    <row r="287" spans="1:9">
      <c r="A287" s="148" t="s">
        <v>256</v>
      </c>
      <c r="B287" s="149" t="s">
        <v>23</v>
      </c>
      <c r="C287" s="150" t="s">
        <v>24</v>
      </c>
      <c r="D287" s="151"/>
      <c r="E287" s="151"/>
      <c r="F287" s="151"/>
      <c r="G287" s="151"/>
      <c r="H287" s="152"/>
      <c r="I287" s="153" t="s">
        <v>101</v>
      </c>
    </row>
    <row r="288" spans="1:9">
      <c r="A288" s="144"/>
      <c r="B288" s="154"/>
      <c r="C288" s="155"/>
      <c r="D288" s="156"/>
      <c r="E288" s="156"/>
      <c r="F288" s="156"/>
      <c r="G288" s="156"/>
      <c r="H288" s="157"/>
      <c r="I288" s="153" t="s">
        <v>257</v>
      </c>
    </row>
    <row r="289" spans="1:9">
      <c r="A289" s="144"/>
      <c r="B289" s="158"/>
      <c r="C289" s="159" t="s">
        <v>258</v>
      </c>
      <c r="D289" s="160"/>
      <c r="E289" s="160"/>
      <c r="F289" s="160"/>
      <c r="G289" s="160"/>
      <c r="H289" s="161"/>
      <c r="I289" s="162"/>
    </row>
    <row r="290" spans="1:9">
      <c r="A290" s="144"/>
      <c r="B290" s="163">
        <v>1</v>
      </c>
      <c r="C290" s="206" t="s">
        <v>527</v>
      </c>
      <c r="D290" s="175"/>
      <c r="E290" s="175"/>
      <c r="F290" s="175"/>
      <c r="G290" s="175"/>
      <c r="H290" s="239"/>
      <c r="I290" s="240">
        <f>1000000</f>
        <v>1000000</v>
      </c>
    </row>
    <row r="291" spans="1:9">
      <c r="A291" s="144"/>
      <c r="B291" s="163"/>
      <c r="C291" s="176" t="s">
        <v>528</v>
      </c>
      <c r="D291" s="175"/>
      <c r="E291" s="175"/>
      <c r="F291" s="175"/>
      <c r="G291" s="175"/>
      <c r="H291" s="239"/>
      <c r="I291" s="240"/>
    </row>
    <row r="292" spans="1:9">
      <c r="A292" s="144"/>
      <c r="B292" s="163">
        <v>2</v>
      </c>
      <c r="C292" s="206" t="s">
        <v>529</v>
      </c>
      <c r="D292" s="175"/>
      <c r="E292" s="175"/>
      <c r="F292" s="175"/>
      <c r="G292" s="175"/>
      <c r="H292" s="239"/>
      <c r="I292" s="240">
        <f>2000000</f>
        <v>2000000</v>
      </c>
    </row>
    <row r="293" spans="1:9">
      <c r="A293" s="144"/>
      <c r="B293" s="163">
        <v>3</v>
      </c>
      <c r="C293" s="206" t="s">
        <v>530</v>
      </c>
      <c r="D293" s="175"/>
      <c r="E293" s="175"/>
      <c r="F293" s="175"/>
      <c r="G293" s="175"/>
      <c r="H293" s="239"/>
      <c r="I293" s="240">
        <f>6260000</f>
        <v>6260000</v>
      </c>
    </row>
    <row r="294" spans="1:9">
      <c r="A294" s="144"/>
      <c r="B294" s="163">
        <v>4</v>
      </c>
      <c r="C294" s="222" t="s">
        <v>531</v>
      </c>
      <c r="D294" s="191"/>
      <c r="E294" s="191"/>
      <c r="F294" s="191"/>
      <c r="G294" s="191"/>
      <c r="H294" s="192"/>
      <c r="I294" s="240">
        <f>2550000</f>
        <v>2550000</v>
      </c>
    </row>
    <row r="295" spans="1:9">
      <c r="A295" s="144"/>
      <c r="B295" s="163">
        <v>5</v>
      </c>
      <c r="C295" s="223" t="s">
        <v>532</v>
      </c>
      <c r="D295" s="191"/>
      <c r="E295" s="191"/>
      <c r="F295" s="191"/>
      <c r="G295" s="191"/>
      <c r="H295" s="192"/>
      <c r="I295" s="240">
        <f>610000</f>
        <v>610000</v>
      </c>
    </row>
    <row r="296" spans="1:9">
      <c r="A296" s="168"/>
      <c r="B296" s="169" t="s">
        <v>58</v>
      </c>
      <c r="C296" s="170"/>
      <c r="D296" s="170"/>
      <c r="E296" s="170"/>
      <c r="F296" s="170"/>
      <c r="G296" s="170"/>
      <c r="H296" s="171"/>
      <c r="I296" s="172">
        <f>SUM(I290:I295)</f>
        <v>12420000</v>
      </c>
    </row>
    <row r="297" spans="1:9">
      <c r="A297" s="145"/>
      <c r="B297" s="145"/>
      <c r="C297" s="145"/>
      <c r="D297" s="145"/>
      <c r="E297" s="145"/>
      <c r="F297" s="145"/>
      <c r="G297" s="145"/>
      <c r="H297" s="145"/>
      <c r="I297" s="145"/>
    </row>
    <row r="298" spans="1:9">
      <c r="A298" s="148" t="s">
        <v>260</v>
      </c>
      <c r="B298" s="149" t="s">
        <v>23</v>
      </c>
      <c r="C298" s="150" t="s">
        <v>24</v>
      </c>
      <c r="D298" s="151"/>
      <c r="E298" s="151"/>
      <c r="F298" s="151"/>
      <c r="G298" s="151"/>
      <c r="H298" s="152"/>
      <c r="I298" s="153" t="s">
        <v>101</v>
      </c>
    </row>
    <row r="299" spans="1:9">
      <c r="A299" s="145"/>
      <c r="B299" s="154"/>
      <c r="C299" s="155"/>
      <c r="D299" s="156"/>
      <c r="E299" s="156"/>
      <c r="F299" s="156"/>
      <c r="G299" s="156"/>
      <c r="H299" s="157"/>
      <c r="I299" s="153" t="s">
        <v>257</v>
      </c>
    </row>
    <row r="300" spans="1:9">
      <c r="A300" s="145"/>
      <c r="B300" s="158"/>
      <c r="C300" s="159" t="s">
        <v>261</v>
      </c>
      <c r="D300" s="160"/>
      <c r="E300" s="160"/>
      <c r="F300" s="160"/>
      <c r="G300" s="160"/>
      <c r="H300" s="161"/>
      <c r="I300" s="173"/>
    </row>
    <row r="301" spans="1:9">
      <c r="A301" s="145"/>
      <c r="B301" s="163">
        <v>1</v>
      </c>
      <c r="C301" s="176" t="s">
        <v>533</v>
      </c>
      <c r="D301" s="177"/>
      <c r="E301" s="177"/>
      <c r="F301" s="177"/>
      <c r="G301" s="177"/>
      <c r="H301" s="177"/>
      <c r="I301" s="173">
        <f>8608500</f>
        <v>8608500</v>
      </c>
    </row>
    <row r="302" spans="1:9">
      <c r="A302" s="145"/>
      <c r="B302" s="163">
        <v>2</v>
      </c>
      <c r="C302" s="176" t="s">
        <v>534</v>
      </c>
      <c r="D302" s="177"/>
      <c r="E302" s="177"/>
      <c r="F302" s="177"/>
      <c r="G302" s="177"/>
      <c r="H302" s="177"/>
      <c r="I302" s="173"/>
    </row>
    <row r="303" spans="1:9">
      <c r="A303" s="145"/>
      <c r="B303" s="163"/>
      <c r="C303" s="176" t="s">
        <v>535</v>
      </c>
      <c r="D303" s="177"/>
      <c r="E303" s="177"/>
      <c r="F303" s="177"/>
      <c r="G303" s="177"/>
      <c r="H303" s="177"/>
      <c r="I303" s="173">
        <f>1000000</f>
        <v>1000000</v>
      </c>
    </row>
    <row r="304" spans="1:9">
      <c r="A304" s="145"/>
      <c r="B304" s="163"/>
      <c r="C304" s="176" t="s">
        <v>536</v>
      </c>
      <c r="D304" s="177"/>
      <c r="E304" s="177"/>
      <c r="F304" s="177"/>
      <c r="G304" s="177"/>
      <c r="H304" s="177"/>
      <c r="I304" s="173">
        <f>1000000</f>
        <v>1000000</v>
      </c>
    </row>
    <row r="305" spans="1:9">
      <c r="A305" s="145"/>
      <c r="B305" s="163"/>
      <c r="C305" s="176" t="s">
        <v>537</v>
      </c>
      <c r="D305" s="177"/>
      <c r="E305" s="177"/>
      <c r="F305" s="177"/>
      <c r="G305" s="177"/>
      <c r="H305" s="177"/>
      <c r="I305" s="173">
        <f>5000000</f>
        <v>5000000</v>
      </c>
    </row>
    <row r="306" spans="1:9">
      <c r="A306" s="145"/>
      <c r="B306" s="163"/>
      <c r="C306" s="176" t="s">
        <v>538</v>
      </c>
      <c r="D306" s="177"/>
      <c r="E306" s="177"/>
      <c r="F306" s="177"/>
      <c r="G306" s="177"/>
      <c r="H306" s="177"/>
      <c r="I306" s="173"/>
    </row>
    <row r="307" spans="1:9">
      <c r="A307" s="145"/>
      <c r="B307" s="163"/>
      <c r="C307" s="176" t="s">
        <v>539</v>
      </c>
      <c r="D307" s="177"/>
      <c r="E307" s="177"/>
      <c r="F307" s="177"/>
      <c r="G307" s="177"/>
      <c r="H307" s="177"/>
      <c r="I307" s="173">
        <f>2780000</f>
        <v>2780000</v>
      </c>
    </row>
    <row r="308" spans="1:9">
      <c r="A308" s="145"/>
      <c r="B308" s="163"/>
      <c r="C308" s="176" t="s">
        <v>540</v>
      </c>
      <c r="D308" s="177"/>
      <c r="E308" s="177"/>
      <c r="F308" s="177"/>
      <c r="G308" s="177"/>
      <c r="H308" s="177"/>
      <c r="I308" s="173">
        <f>5000000</f>
        <v>5000000</v>
      </c>
    </row>
    <row r="309" spans="1:9">
      <c r="A309" s="145"/>
      <c r="B309" s="163"/>
      <c r="C309" s="176" t="s">
        <v>541</v>
      </c>
      <c r="D309" s="177"/>
      <c r="E309" s="177"/>
      <c r="F309" s="177"/>
      <c r="G309" s="177"/>
      <c r="H309" s="177"/>
      <c r="I309" s="173">
        <f>800000</f>
        <v>800000</v>
      </c>
    </row>
    <row r="310" spans="1:9">
      <c r="A310" s="145"/>
      <c r="B310" s="163">
        <v>3</v>
      </c>
      <c r="C310" s="241" t="s">
        <v>542</v>
      </c>
      <c r="D310" s="177"/>
      <c r="E310" s="177"/>
      <c r="F310" s="177"/>
      <c r="G310" s="177"/>
      <c r="H310" s="177"/>
      <c r="I310" s="173">
        <f>275000</f>
        <v>275000</v>
      </c>
    </row>
    <row r="311" spans="1:9">
      <c r="A311" s="145"/>
      <c r="B311" s="163">
        <v>4</v>
      </c>
      <c r="C311" s="176" t="s">
        <v>543</v>
      </c>
      <c r="D311" s="177"/>
      <c r="E311" s="177"/>
      <c r="F311" s="177"/>
      <c r="G311" s="177"/>
      <c r="H311" s="177"/>
      <c r="I311" s="173">
        <f>1710000</f>
        <v>1710000</v>
      </c>
    </row>
    <row r="312" spans="1:9">
      <c r="A312" s="145"/>
      <c r="B312" s="163">
        <v>5</v>
      </c>
      <c r="C312" s="176" t="s">
        <v>544</v>
      </c>
      <c r="D312" s="177"/>
      <c r="E312" s="177"/>
      <c r="F312" s="177"/>
      <c r="G312" s="177"/>
      <c r="H312" s="177"/>
      <c r="I312" s="173">
        <f>13480000</f>
        <v>13480000</v>
      </c>
    </row>
    <row r="313" spans="1:9">
      <c r="A313" s="145"/>
      <c r="B313" s="163">
        <v>6</v>
      </c>
      <c r="C313" s="176" t="s">
        <v>503</v>
      </c>
      <c r="D313" s="177"/>
      <c r="E313" s="177"/>
      <c r="F313" s="177"/>
      <c r="G313" s="177"/>
      <c r="H313" s="177"/>
      <c r="I313" s="173"/>
    </row>
    <row r="314" spans="1:9">
      <c r="A314" s="145"/>
      <c r="B314" s="163"/>
      <c r="C314" s="176" t="s">
        <v>545</v>
      </c>
      <c r="D314" s="177"/>
      <c r="E314" s="177"/>
      <c r="F314" s="177"/>
      <c r="G314" s="177"/>
      <c r="H314" s="177"/>
      <c r="I314" s="173">
        <f>166400</f>
        <v>166400</v>
      </c>
    </row>
    <row r="315" spans="1:9">
      <c r="A315" s="145"/>
      <c r="B315" s="163"/>
      <c r="C315" s="176" t="s">
        <v>546</v>
      </c>
      <c r="D315" s="177"/>
      <c r="E315" s="177"/>
      <c r="F315" s="177"/>
      <c r="G315" s="177"/>
      <c r="H315" s="177"/>
      <c r="I315" s="173">
        <f>341000</f>
        <v>341000</v>
      </c>
    </row>
    <row r="316" spans="1:9">
      <c r="A316" s="145"/>
      <c r="B316" s="163"/>
      <c r="C316" s="176" t="s">
        <v>547</v>
      </c>
      <c r="D316" s="177"/>
      <c r="E316" s="177"/>
      <c r="F316" s="177"/>
      <c r="G316" s="177"/>
      <c r="H316" s="177"/>
      <c r="I316" s="173">
        <f>1463944</f>
        <v>1463944</v>
      </c>
    </row>
    <row r="317" spans="1:9">
      <c r="A317" s="145"/>
      <c r="B317" s="163"/>
      <c r="C317" s="222" t="s">
        <v>548</v>
      </c>
      <c r="D317" s="242"/>
      <c r="E317" s="242"/>
      <c r="F317" s="242"/>
      <c r="G317" s="242"/>
      <c r="H317" s="243"/>
      <c r="I317" s="173">
        <f>635750</f>
        <v>635750</v>
      </c>
    </row>
    <row r="318" spans="1:9">
      <c r="A318" s="168"/>
      <c r="B318" s="169" t="s">
        <v>58</v>
      </c>
      <c r="C318" s="170"/>
      <c r="D318" s="170"/>
      <c r="E318" s="170"/>
      <c r="F318" s="170"/>
      <c r="G318" s="170"/>
      <c r="H318" s="171"/>
      <c r="I318" s="172">
        <f>SUM(I301:I317)</f>
        <v>42260594</v>
      </c>
    </row>
    <row r="319" spans="1:9">
      <c r="A319" s="144"/>
      <c r="B319" s="144"/>
      <c r="C319" s="144"/>
      <c r="D319" s="144"/>
      <c r="E319" s="144"/>
      <c r="F319" s="144"/>
      <c r="G319" s="144"/>
      <c r="H319" s="144"/>
      <c r="I319" s="144" t="s">
        <v>265</v>
      </c>
    </row>
    <row r="320" spans="1:9">
      <c r="A320" s="144"/>
      <c r="B320" s="144"/>
      <c r="C320" s="144"/>
      <c r="D320" s="180"/>
      <c r="G320" s="180" t="s">
        <v>549</v>
      </c>
      <c r="H320" s="180"/>
    </row>
    <row r="321" spans="1:8">
      <c r="A321" s="144"/>
      <c r="B321" s="144"/>
      <c r="C321" s="180" t="s">
        <v>42</v>
      </c>
      <c r="D321" s="181"/>
      <c r="G321" s="180" t="s">
        <v>267</v>
      </c>
      <c r="H321" s="180"/>
    </row>
    <row r="322" spans="1:8">
      <c r="A322" s="144"/>
      <c r="B322" s="144"/>
      <c r="C322" s="144"/>
      <c r="D322" s="182"/>
      <c r="G322" s="144"/>
      <c r="H322" s="144"/>
    </row>
    <row r="323" spans="1:8">
      <c r="A323" s="144"/>
      <c r="B323" s="183"/>
      <c r="C323" s="184" t="s">
        <v>344</v>
      </c>
      <c r="D323" s="184"/>
      <c r="E323" s="193"/>
      <c r="F323" s="193"/>
      <c r="G323" s="184" t="s">
        <v>344</v>
      </c>
      <c r="H323" s="144"/>
    </row>
    <row r="324" spans="1:8">
      <c r="A324" s="144"/>
      <c r="B324" s="183"/>
      <c r="C324" s="180" t="s">
        <v>268</v>
      </c>
      <c r="D324" s="144"/>
      <c r="G324" s="180" t="s">
        <v>269</v>
      </c>
      <c r="H324" s="185"/>
    </row>
  </sheetData>
  <mergeCells count="65">
    <mergeCell ref="C289:H289"/>
    <mergeCell ref="B296:H296"/>
    <mergeCell ref="B298:B299"/>
    <mergeCell ref="C298:H299"/>
    <mergeCell ref="C300:H300"/>
    <mergeCell ref="B318:H318"/>
    <mergeCell ref="A260:I260"/>
    <mergeCell ref="A281:C281"/>
    <mergeCell ref="A282:C282"/>
    <mergeCell ref="A285:I285"/>
    <mergeCell ref="B286:I286"/>
    <mergeCell ref="B287:B288"/>
    <mergeCell ref="C287:H288"/>
    <mergeCell ref="A198:I198"/>
    <mergeCell ref="A252:C252"/>
    <mergeCell ref="A253:I253"/>
    <mergeCell ref="A255:C255"/>
    <mergeCell ref="A256:I256"/>
    <mergeCell ref="A259:C259"/>
    <mergeCell ref="A129:I129"/>
    <mergeCell ref="A150:C150"/>
    <mergeCell ref="A151:I151"/>
    <mergeCell ref="A172:C172"/>
    <mergeCell ref="A173:I173"/>
    <mergeCell ref="A197:C197"/>
    <mergeCell ref="A117:I117"/>
    <mergeCell ref="A122:C122"/>
    <mergeCell ref="A123:I123"/>
    <mergeCell ref="A125:C125"/>
    <mergeCell ref="A126:I126"/>
    <mergeCell ref="A128:C128"/>
    <mergeCell ref="A78:I78"/>
    <mergeCell ref="A89:C89"/>
    <mergeCell ref="A90:I90"/>
    <mergeCell ref="A105:C105"/>
    <mergeCell ref="A106:I106"/>
    <mergeCell ref="A116:C116"/>
    <mergeCell ref="D69:E69"/>
    <mergeCell ref="G69:H69"/>
    <mergeCell ref="A71:I71"/>
    <mergeCell ref="A74:C74"/>
    <mergeCell ref="A75:I75"/>
    <mergeCell ref="A77:C77"/>
    <mergeCell ref="E55:F55"/>
    <mergeCell ref="A64:I64"/>
    <mergeCell ref="A65:I65"/>
    <mergeCell ref="A66:I66"/>
    <mergeCell ref="A68:A70"/>
    <mergeCell ref="B68:C70"/>
    <mergeCell ref="D68:E68"/>
    <mergeCell ref="F68:F70"/>
    <mergeCell ref="G68:H68"/>
    <mergeCell ref="I68:I70"/>
    <mergeCell ref="A8:B8"/>
    <mergeCell ref="A9:B9"/>
    <mergeCell ref="A10:B10"/>
    <mergeCell ref="E24:F24"/>
    <mergeCell ref="E52:F52"/>
    <mergeCell ref="E54:F54"/>
    <mergeCell ref="A1:F1"/>
    <mergeCell ref="A2:F2"/>
    <mergeCell ref="A3:F3"/>
    <mergeCell ref="A4:F4"/>
    <mergeCell ref="A5:F5"/>
    <mergeCell ref="E7:F7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2"/>
  <sheetViews>
    <sheetView topLeftCell="A323" workbookViewId="0">
      <selection activeCell="F266" sqref="F266"/>
    </sheetView>
  </sheetViews>
  <sheetFormatPr defaultRowHeight="15"/>
  <cols>
    <col min="1" max="1" width="6" customWidth="1"/>
    <col min="2" max="2" width="6.5703125" customWidth="1"/>
    <col min="3" max="3" width="36.85546875" customWidth="1"/>
    <col min="4" max="4" width="18.7109375" customWidth="1"/>
    <col min="5" max="5" width="21.28515625" customWidth="1"/>
    <col min="6" max="6" width="18.7109375" customWidth="1"/>
    <col min="7" max="8" width="13.7109375" customWidth="1"/>
    <col min="9" max="9" width="14.85546875" customWidth="1"/>
  </cols>
  <sheetData>
    <row r="1" spans="1:6" ht="30">
      <c r="A1" s="244"/>
      <c r="B1" s="245" t="s">
        <v>550</v>
      </c>
      <c r="C1" s="245"/>
      <c r="D1" s="245"/>
      <c r="E1" s="245"/>
      <c r="F1" s="245"/>
    </row>
    <row r="2" spans="1:6" ht="29.25">
      <c r="A2" s="245" t="s">
        <v>1</v>
      </c>
      <c r="B2" s="245"/>
      <c r="C2" s="245"/>
      <c r="D2" s="245"/>
      <c r="E2" s="245"/>
      <c r="F2" s="245"/>
    </row>
    <row r="3" spans="1:6" ht="29.25">
      <c r="A3" s="245" t="s">
        <v>2</v>
      </c>
      <c r="B3" s="245"/>
      <c r="C3" s="245"/>
      <c r="D3" s="245"/>
      <c r="E3" s="245"/>
      <c r="F3" s="245"/>
    </row>
    <row r="4" spans="1:6">
      <c r="A4" s="3" t="s">
        <v>3</v>
      </c>
      <c r="B4" s="3"/>
      <c r="C4" s="3"/>
      <c r="D4" s="3"/>
      <c r="E4" s="3"/>
      <c r="F4" s="3"/>
    </row>
    <row r="5" spans="1:6" ht="15.75" thickBot="1">
      <c r="A5" s="209" t="s">
        <v>551</v>
      </c>
      <c r="B5" s="209"/>
      <c r="C5" s="209"/>
      <c r="D5" s="209"/>
      <c r="E5" s="209"/>
      <c r="F5" s="209"/>
    </row>
    <row r="6" spans="1:6" ht="15.75" thickTop="1">
      <c r="A6" s="5"/>
      <c r="B6" s="5"/>
      <c r="C6" s="5"/>
      <c r="D6" s="5"/>
      <c r="E6" s="5"/>
      <c r="F6" s="5"/>
    </row>
    <row r="7" spans="1:6" ht="18.75">
      <c r="A7" s="6"/>
      <c r="B7" s="6"/>
      <c r="C7" s="6"/>
      <c r="D7" s="6"/>
      <c r="E7" s="7" t="s">
        <v>552</v>
      </c>
      <c r="F7" s="7"/>
    </row>
    <row r="8" spans="1:6" ht="18.75">
      <c r="A8" s="8" t="s">
        <v>6</v>
      </c>
      <c r="B8" s="8"/>
      <c r="C8" s="9" t="s">
        <v>553</v>
      </c>
      <c r="D8" s="10"/>
      <c r="E8" s="9"/>
      <c r="F8" s="10"/>
    </row>
    <row r="9" spans="1:6" ht="18.75">
      <c r="A9" s="8" t="s">
        <v>8</v>
      </c>
      <c r="B9" s="8"/>
      <c r="C9" s="9" t="s">
        <v>9</v>
      </c>
      <c r="D9" s="10"/>
      <c r="E9" s="9"/>
      <c r="F9" s="9"/>
    </row>
    <row r="10" spans="1:6" ht="18.75">
      <c r="A10" s="8" t="s">
        <v>10</v>
      </c>
      <c r="B10" s="8"/>
      <c r="C10" s="9" t="s">
        <v>11</v>
      </c>
      <c r="D10" s="10"/>
      <c r="E10" s="9"/>
      <c r="F10" s="9"/>
    </row>
    <row r="11" spans="1:6" ht="18.75">
      <c r="A11" s="9"/>
      <c r="B11" s="9"/>
      <c r="C11" s="9"/>
      <c r="D11" s="9"/>
      <c r="E11" s="9"/>
      <c r="F11" s="9"/>
    </row>
    <row r="12" spans="1:6" ht="18.75">
      <c r="A12" s="9"/>
      <c r="B12" s="9" t="s">
        <v>12</v>
      </c>
      <c r="C12" s="10"/>
      <c r="D12" s="10"/>
      <c r="E12" s="9"/>
      <c r="F12" s="9"/>
    </row>
    <row r="13" spans="1:6" ht="18.75">
      <c r="A13" s="9"/>
      <c r="B13" s="9" t="s">
        <v>13</v>
      </c>
      <c r="C13" s="10"/>
      <c r="D13" s="10"/>
      <c r="E13" s="9"/>
      <c r="F13" s="9"/>
    </row>
    <row r="14" spans="1:6" ht="18.75">
      <c r="A14" s="9"/>
      <c r="B14" s="9" t="s">
        <v>14</v>
      </c>
      <c r="C14" s="10"/>
      <c r="D14" s="10"/>
      <c r="E14" s="9"/>
      <c r="F14" s="9"/>
    </row>
    <row r="15" spans="1:6" ht="18.75">
      <c r="A15" s="9"/>
      <c r="B15" s="9" t="s">
        <v>15</v>
      </c>
      <c r="C15" s="10"/>
      <c r="D15" s="10"/>
      <c r="E15" s="9"/>
      <c r="F15" s="9"/>
    </row>
    <row r="16" spans="1:6" ht="18.75">
      <c r="A16" s="9"/>
      <c r="B16" s="9" t="s">
        <v>16</v>
      </c>
      <c r="C16" s="10"/>
      <c r="D16" s="10"/>
      <c r="E16" s="9"/>
      <c r="F16" s="9"/>
    </row>
    <row r="17" spans="1:6" ht="18.75">
      <c r="A17" s="9"/>
      <c r="B17" s="9" t="s">
        <v>17</v>
      </c>
      <c r="C17" s="9"/>
      <c r="D17" s="10"/>
      <c r="E17" s="9"/>
      <c r="F17" s="9"/>
    </row>
    <row r="18" spans="1:6" ht="18.75">
      <c r="A18" s="9"/>
      <c r="B18" s="9" t="s">
        <v>512</v>
      </c>
      <c r="C18" s="9"/>
      <c r="D18" s="10"/>
      <c r="E18" s="9"/>
      <c r="F18" s="10"/>
    </row>
    <row r="19" spans="1:6" ht="18.75">
      <c r="A19" s="9"/>
      <c r="B19" s="9" t="s">
        <v>18</v>
      </c>
      <c r="C19" s="9"/>
      <c r="D19" s="10"/>
      <c r="E19" s="9"/>
      <c r="F19" s="9"/>
    </row>
    <row r="20" spans="1:6" ht="18.75">
      <c r="A20" s="9"/>
      <c r="B20" s="10"/>
      <c r="C20" s="9"/>
      <c r="D20" s="9"/>
      <c r="E20" s="9"/>
      <c r="F20" s="9"/>
    </row>
    <row r="21" spans="1:6" ht="19.5">
      <c r="A21" s="9"/>
      <c r="C21" s="11" t="s">
        <v>19</v>
      </c>
      <c r="D21" s="12"/>
      <c r="E21" s="9"/>
      <c r="F21" s="10"/>
    </row>
    <row r="22" spans="1:6" ht="18.75">
      <c r="B22" s="13" t="s">
        <v>554</v>
      </c>
      <c r="C22" s="13"/>
      <c r="D22" s="13"/>
      <c r="E22" s="13"/>
      <c r="F22" s="10"/>
    </row>
    <row r="23" spans="1:6" ht="18.75">
      <c r="B23" s="13" t="s">
        <v>555</v>
      </c>
      <c r="C23" s="13"/>
      <c r="D23" s="13"/>
      <c r="E23" s="13"/>
      <c r="F23" s="10"/>
    </row>
    <row r="24" spans="1:6" ht="15.75">
      <c r="A24" s="14"/>
      <c r="B24" s="14"/>
      <c r="C24" s="14"/>
      <c r="D24" s="14"/>
      <c r="E24" s="15" t="s">
        <v>22</v>
      </c>
      <c r="F24" s="15"/>
    </row>
    <row r="25" spans="1:6" ht="18.75">
      <c r="A25" s="14"/>
      <c r="B25" s="16" t="s">
        <v>23</v>
      </c>
      <c r="C25" s="16" t="s">
        <v>24</v>
      </c>
      <c r="D25" s="17" t="s">
        <v>25</v>
      </c>
      <c r="E25" s="17" t="s">
        <v>26</v>
      </c>
      <c r="F25" s="17" t="s">
        <v>27</v>
      </c>
    </row>
    <row r="26" spans="1:6" ht="15.75">
      <c r="A26" s="14"/>
      <c r="B26" s="20">
        <v>1</v>
      </c>
      <c r="C26" s="21" t="s">
        <v>28</v>
      </c>
      <c r="D26" s="22"/>
      <c r="E26" s="22"/>
      <c r="F26" s="23"/>
    </row>
    <row r="27" spans="1:6" ht="15.75">
      <c r="A27" s="14"/>
      <c r="B27" s="20"/>
      <c r="C27" s="21" t="s">
        <v>29</v>
      </c>
      <c r="D27" s="22"/>
      <c r="E27" s="22"/>
      <c r="F27" s="23"/>
    </row>
    <row r="28" spans="1:6" ht="15.75">
      <c r="A28" s="14"/>
      <c r="B28" s="24"/>
      <c r="C28" s="25" t="s">
        <v>556</v>
      </c>
      <c r="D28" s="26"/>
      <c r="E28" s="26"/>
      <c r="F28" s="31">
        <f>[8]AGUSTUS!G28</f>
        <v>1588877798</v>
      </c>
    </row>
    <row r="29" spans="1:6" ht="15.75">
      <c r="A29" s="14"/>
      <c r="B29" s="24"/>
      <c r="C29" s="25" t="s">
        <v>557</v>
      </c>
      <c r="D29" s="27">
        <f>139087861</f>
        <v>139087861</v>
      </c>
      <c r="E29" s="28"/>
      <c r="F29" s="26"/>
    </row>
    <row r="30" spans="1:6" ht="15.75">
      <c r="A30" s="14"/>
      <c r="B30" s="24"/>
      <c r="C30" s="25" t="s">
        <v>558</v>
      </c>
      <c r="D30" s="26"/>
      <c r="E30" s="29">
        <f>10520000</f>
        <v>10520000</v>
      </c>
      <c r="F30" s="26"/>
    </row>
    <row r="31" spans="1:6" ht="15.75">
      <c r="A31" s="14"/>
      <c r="B31" s="24"/>
      <c r="C31" s="30" t="s">
        <v>33</v>
      </c>
      <c r="D31" s="26"/>
      <c r="E31" s="29"/>
      <c r="F31" s="31">
        <f>F28+D29-E30</f>
        <v>1717445659</v>
      </c>
    </row>
    <row r="32" spans="1:6" ht="15.75">
      <c r="A32" s="14"/>
      <c r="B32" s="20"/>
      <c r="C32" s="32" t="s">
        <v>34</v>
      </c>
      <c r="D32" s="33"/>
      <c r="E32" s="33"/>
      <c r="F32" s="34"/>
    </row>
    <row r="33" spans="1:6" ht="15.75">
      <c r="A33" s="14"/>
      <c r="B33" s="24"/>
      <c r="C33" s="35" t="s">
        <v>556</v>
      </c>
      <c r="D33" s="29"/>
      <c r="E33" s="36"/>
      <c r="F33" s="29">
        <f>[8]AGUSTUS!G33</f>
        <v>2550000</v>
      </c>
    </row>
    <row r="34" spans="1:6" ht="15.75">
      <c r="A34" s="14"/>
      <c r="B34" s="24"/>
      <c r="C34" s="25" t="s">
        <v>557</v>
      </c>
      <c r="D34" s="37">
        <f>125000</f>
        <v>125000</v>
      </c>
      <c r="E34" s="36"/>
      <c r="F34" s="37"/>
    </row>
    <row r="35" spans="1:6" ht="15.75">
      <c r="A35" s="14"/>
      <c r="B35" s="24"/>
      <c r="C35" s="25" t="s">
        <v>558</v>
      </c>
      <c r="D35" s="29"/>
      <c r="E35" s="36">
        <f>0</f>
        <v>0</v>
      </c>
      <c r="F35" s="37"/>
    </row>
    <row r="36" spans="1:6" ht="15.75">
      <c r="A36" s="14"/>
      <c r="B36" s="24"/>
      <c r="C36" s="30" t="s">
        <v>33</v>
      </c>
      <c r="D36" s="38"/>
      <c r="E36" s="38"/>
      <c r="F36" s="31">
        <f>F33+D34-E35</f>
        <v>2675000</v>
      </c>
    </row>
    <row r="37" spans="1:6" ht="15.75">
      <c r="A37" s="14"/>
      <c r="B37" s="24"/>
      <c r="C37" s="30" t="s">
        <v>35</v>
      </c>
      <c r="D37" s="31">
        <f>D29+D34</f>
        <v>139212861</v>
      </c>
      <c r="E37" s="39">
        <f>E30+E35</f>
        <v>10520000</v>
      </c>
      <c r="F37" s="40">
        <f>F31+F36</f>
        <v>1720120659</v>
      </c>
    </row>
    <row r="38" spans="1:6" ht="15.75">
      <c r="A38" s="14"/>
      <c r="B38" s="20">
        <v>2</v>
      </c>
      <c r="C38" s="32" t="s">
        <v>36</v>
      </c>
      <c r="D38" s="33"/>
      <c r="E38" s="41"/>
      <c r="F38" s="42"/>
    </row>
    <row r="39" spans="1:6" ht="15.75">
      <c r="A39" s="14"/>
      <c r="B39" s="20"/>
      <c r="C39" s="32" t="s">
        <v>29</v>
      </c>
      <c r="D39" s="33"/>
      <c r="E39" s="41"/>
      <c r="F39" s="42"/>
    </row>
    <row r="40" spans="1:6" ht="15.75">
      <c r="A40" s="43"/>
      <c r="B40" s="24"/>
      <c r="C40" s="25" t="s">
        <v>556</v>
      </c>
      <c r="D40" s="26"/>
      <c r="E40" s="44"/>
      <c r="F40" s="39">
        <f>[8]AGUSTUS!G40</f>
        <v>1073308353</v>
      </c>
    </row>
    <row r="41" spans="1:6" ht="15.75">
      <c r="A41" s="45"/>
      <c r="B41" s="24"/>
      <c r="C41" s="25" t="s">
        <v>557</v>
      </c>
      <c r="D41" s="46">
        <f>90253834</f>
        <v>90253834</v>
      </c>
      <c r="E41" s="47"/>
      <c r="F41" s="44"/>
    </row>
    <row r="42" spans="1:6" ht="15.75">
      <c r="A42" s="14"/>
      <c r="B42" s="24"/>
      <c r="C42" s="25" t="s">
        <v>558</v>
      </c>
      <c r="D42" s="28"/>
      <c r="E42" s="48">
        <f>32049975</f>
        <v>32049975</v>
      </c>
      <c r="F42" s="44"/>
    </row>
    <row r="43" spans="1:6" ht="15.75">
      <c r="A43" s="14"/>
      <c r="B43" s="20"/>
      <c r="C43" s="49" t="s">
        <v>37</v>
      </c>
      <c r="D43" s="38"/>
      <c r="E43" s="50"/>
      <c r="F43" s="51">
        <f>F40+D41-E42</f>
        <v>1131512212</v>
      </c>
    </row>
    <row r="44" spans="1:6" ht="15.75">
      <c r="A44" s="14"/>
      <c r="B44" s="24"/>
      <c r="C44" s="52" t="s">
        <v>559</v>
      </c>
      <c r="D44" s="53">
        <f>D29+D41</f>
        <v>229341695</v>
      </c>
      <c r="E44" s="53">
        <f>E30+E42</f>
        <v>42569975</v>
      </c>
      <c r="F44" s="31">
        <f>F37+F43</f>
        <v>2851632871</v>
      </c>
    </row>
    <row r="45" spans="1:6" ht="15.75">
      <c r="B45" s="54" t="s">
        <v>340</v>
      </c>
      <c r="C45" s="54"/>
      <c r="D45" s="54"/>
      <c r="E45" s="54"/>
      <c r="F45" s="54"/>
    </row>
    <row r="46" spans="1:6" ht="18.75">
      <c r="A46" s="55"/>
      <c r="B46" s="201" t="s">
        <v>341</v>
      </c>
      <c r="C46" s="10"/>
      <c r="D46" s="57"/>
      <c r="E46" s="10"/>
      <c r="F46" s="58"/>
    </row>
    <row r="47" spans="1:6" ht="18.75">
      <c r="A47" s="55"/>
      <c r="B47" s="201" t="s">
        <v>342</v>
      </c>
      <c r="C47" s="10"/>
      <c r="D47" s="57"/>
      <c r="E47" s="10"/>
      <c r="F47" s="58"/>
    </row>
    <row r="48" spans="1:6" ht="18.75">
      <c r="A48" s="55"/>
      <c r="B48" s="201" t="s">
        <v>343</v>
      </c>
      <c r="C48" s="10"/>
      <c r="D48" s="57"/>
      <c r="E48" s="10"/>
      <c r="F48" s="58"/>
    </row>
    <row r="49" spans="1:9" ht="18.75">
      <c r="A49" s="14"/>
      <c r="B49" s="59"/>
      <c r="C49" s="60" t="s">
        <v>40</v>
      </c>
      <c r="D49" s="61"/>
      <c r="E49" s="60"/>
      <c r="F49" s="58"/>
    </row>
    <row r="50" spans="1:9" ht="19.5">
      <c r="A50" s="62"/>
      <c r="B50" s="59"/>
      <c r="C50" s="63" t="s">
        <v>41</v>
      </c>
      <c r="D50" s="64"/>
      <c r="E50" s="65"/>
      <c r="F50" s="66"/>
    </row>
    <row r="51" spans="1:9" ht="18.75">
      <c r="A51" s="62"/>
      <c r="B51" s="62"/>
      <c r="C51" s="67" t="s">
        <v>42</v>
      </c>
      <c r="D51" s="10"/>
      <c r="E51" s="68" t="s">
        <v>560</v>
      </c>
      <c r="F51" s="68"/>
    </row>
    <row r="52" spans="1:9" ht="18.75">
      <c r="A52" s="62"/>
      <c r="B52" s="62"/>
      <c r="C52" s="67"/>
      <c r="D52" s="10"/>
      <c r="E52" s="69"/>
      <c r="F52" s="69"/>
    </row>
    <row r="53" spans="1:9" ht="18.75">
      <c r="A53" s="62"/>
      <c r="B53" s="62"/>
      <c r="C53" s="70" t="s">
        <v>344</v>
      </c>
      <c r="D53" s="71"/>
      <c r="E53" s="72" t="s">
        <v>344</v>
      </c>
      <c r="F53" s="72"/>
    </row>
    <row r="54" spans="1:9" ht="18.75">
      <c r="A54" s="62"/>
      <c r="B54" s="62"/>
      <c r="C54" s="73" t="s">
        <v>45</v>
      </c>
      <c r="D54" s="74"/>
      <c r="E54" s="75" t="s">
        <v>561</v>
      </c>
      <c r="F54" s="75"/>
    </row>
    <row r="55" spans="1:9" ht="18.75">
      <c r="A55" s="59"/>
      <c r="B55" s="246" t="s">
        <v>47</v>
      </c>
      <c r="C55" s="9"/>
      <c r="D55" s="77"/>
      <c r="E55" s="62"/>
      <c r="F55" s="62"/>
    </row>
    <row r="56" spans="1:9" ht="18.75">
      <c r="A56" s="59"/>
      <c r="B56" s="247" t="s">
        <v>48</v>
      </c>
      <c r="C56" s="9"/>
      <c r="D56" s="78"/>
      <c r="E56" s="62"/>
      <c r="F56" s="62"/>
    </row>
    <row r="57" spans="1:9" ht="18.75">
      <c r="A57" s="59"/>
      <c r="B57" s="247" t="s">
        <v>49</v>
      </c>
      <c r="C57" s="9"/>
      <c r="D57" s="14"/>
      <c r="E57" s="62"/>
      <c r="F57" s="62"/>
    </row>
    <row r="58" spans="1:9" ht="18.75">
      <c r="A58" s="59"/>
      <c r="B58" s="247" t="s">
        <v>562</v>
      </c>
      <c r="C58" s="9"/>
      <c r="D58" s="14"/>
      <c r="E58" s="62"/>
      <c r="F58" s="62"/>
    </row>
    <row r="59" spans="1:9" ht="18.75">
      <c r="A59" s="59"/>
      <c r="B59" s="247" t="s">
        <v>51</v>
      </c>
      <c r="C59" s="9"/>
      <c r="D59" s="14"/>
      <c r="E59" s="62"/>
      <c r="F59" s="62"/>
    </row>
    <row r="62" spans="1:9" ht="15.75">
      <c r="A62" s="230" t="s">
        <v>52</v>
      </c>
    </row>
    <row r="64" spans="1:9" ht="22.5">
      <c r="A64" s="81" t="s">
        <v>53</v>
      </c>
      <c r="B64" s="81"/>
      <c r="C64" s="81"/>
      <c r="D64" s="81"/>
      <c r="E64" s="81"/>
      <c r="F64" s="81"/>
      <c r="G64" s="81"/>
      <c r="H64" s="81"/>
      <c r="I64" s="81"/>
    </row>
    <row r="65" spans="1:9" ht="22.5">
      <c r="A65" s="81" t="s">
        <v>54</v>
      </c>
      <c r="B65" s="81"/>
      <c r="C65" s="81"/>
      <c r="D65" s="81"/>
      <c r="E65" s="81"/>
      <c r="F65" s="81"/>
      <c r="G65" s="81"/>
      <c r="H65" s="81"/>
      <c r="I65" s="81"/>
    </row>
    <row r="66" spans="1:9" ht="20.25">
      <c r="A66" s="82" t="s">
        <v>563</v>
      </c>
      <c r="B66" s="82"/>
      <c r="C66" s="82"/>
      <c r="D66" s="82"/>
      <c r="E66" s="82"/>
      <c r="F66" s="82"/>
      <c r="G66" s="82"/>
      <c r="H66" s="82"/>
      <c r="I66" s="82"/>
    </row>
    <row r="67" spans="1:9" ht="15.75" thickBot="1">
      <c r="A67" s="83"/>
      <c r="B67" s="83"/>
      <c r="C67" s="83"/>
      <c r="D67" s="83"/>
      <c r="E67" s="83"/>
      <c r="F67" s="83"/>
      <c r="G67" s="83"/>
      <c r="H67" s="83"/>
      <c r="I67" s="83"/>
    </row>
    <row r="68" spans="1:9" ht="15.75" thickTop="1">
      <c r="A68" s="84" t="s">
        <v>23</v>
      </c>
      <c r="B68" s="85" t="s">
        <v>56</v>
      </c>
      <c r="C68" s="86"/>
      <c r="D68" s="211" t="s">
        <v>57</v>
      </c>
      <c r="E68" s="212"/>
      <c r="F68" s="213" t="s">
        <v>58</v>
      </c>
      <c r="G68" s="211" t="s">
        <v>57</v>
      </c>
      <c r="H68" s="212"/>
      <c r="I68" s="89" t="s">
        <v>58</v>
      </c>
    </row>
    <row r="69" spans="1:9">
      <c r="A69" s="90"/>
      <c r="B69" s="91"/>
      <c r="C69" s="92"/>
      <c r="D69" s="214" t="s">
        <v>519</v>
      </c>
      <c r="E69" s="215"/>
      <c r="F69" s="216"/>
      <c r="G69" s="214" t="s">
        <v>564</v>
      </c>
      <c r="H69" s="215"/>
      <c r="I69" s="95"/>
    </row>
    <row r="70" spans="1:9">
      <c r="A70" s="96"/>
      <c r="B70" s="97"/>
      <c r="C70" s="98"/>
      <c r="D70" s="217" t="s">
        <v>28</v>
      </c>
      <c r="E70" s="217" t="s">
        <v>61</v>
      </c>
      <c r="F70" s="218"/>
      <c r="G70" s="217" t="s">
        <v>28</v>
      </c>
      <c r="H70" s="217" t="s">
        <v>61</v>
      </c>
      <c r="I70" s="100"/>
    </row>
    <row r="71" spans="1:9">
      <c r="A71" s="232" t="s">
        <v>520</v>
      </c>
      <c r="B71" s="233"/>
      <c r="C71" s="233"/>
      <c r="D71" s="233"/>
      <c r="E71" s="233"/>
      <c r="F71" s="233"/>
      <c r="G71" s="233"/>
      <c r="H71" s="233"/>
      <c r="I71" s="234"/>
    </row>
    <row r="72" spans="1:9">
      <c r="A72" s="235">
        <v>1</v>
      </c>
      <c r="B72" s="235">
        <v>1</v>
      </c>
      <c r="C72" s="236" t="s">
        <v>521</v>
      </c>
      <c r="D72" s="106">
        <f>0</f>
        <v>0</v>
      </c>
      <c r="E72" s="107">
        <v>1000000</v>
      </c>
      <c r="F72" s="106">
        <f>SUM(D72:E72)</f>
        <v>1000000</v>
      </c>
      <c r="G72" s="106">
        <f>0</f>
        <v>0</v>
      </c>
      <c r="H72" s="106">
        <f>0</f>
        <v>0</v>
      </c>
      <c r="I72" s="117">
        <f>SUM(G72:H72)</f>
        <v>0</v>
      </c>
    </row>
    <row r="73" spans="1:9">
      <c r="A73" s="235">
        <v>2</v>
      </c>
      <c r="B73" s="235">
        <v>2</v>
      </c>
      <c r="C73" s="236" t="s">
        <v>522</v>
      </c>
      <c r="D73" s="106">
        <f>0</f>
        <v>0</v>
      </c>
      <c r="E73" s="107">
        <f>1500000+5000000</f>
        <v>6500000</v>
      </c>
      <c r="F73" s="106">
        <f>SUM(D73:E73)</f>
        <v>6500000</v>
      </c>
      <c r="G73" s="106">
        <f>0</f>
        <v>0</v>
      </c>
      <c r="H73" s="106">
        <f>0</f>
        <v>0</v>
      </c>
      <c r="I73" s="117">
        <f>SUM(G73:H73)</f>
        <v>0</v>
      </c>
    </row>
    <row r="74" spans="1:9">
      <c r="A74" s="108" t="s">
        <v>58</v>
      </c>
      <c r="B74" s="109"/>
      <c r="C74" s="109"/>
      <c r="D74" s="110">
        <f>D73</f>
        <v>0</v>
      </c>
      <c r="E74" s="111">
        <f>SUM(E72:E73)</f>
        <v>7500000</v>
      </c>
      <c r="F74" s="112">
        <f>SUM(D74:E74)</f>
        <v>7500000</v>
      </c>
      <c r="G74" s="110">
        <f>SUM(G72:G73)</f>
        <v>0</v>
      </c>
      <c r="H74" s="111">
        <f>SUM(H72:H73)</f>
        <v>0</v>
      </c>
      <c r="I74" s="110">
        <f>SUM(G74:H74)</f>
        <v>0</v>
      </c>
    </row>
    <row r="75" spans="1:9">
      <c r="A75" s="101" t="s">
        <v>62</v>
      </c>
      <c r="B75" s="102"/>
      <c r="C75" s="102"/>
      <c r="D75" s="102"/>
      <c r="E75" s="102"/>
      <c r="F75" s="102"/>
      <c r="G75" s="102"/>
      <c r="H75" s="102"/>
      <c r="I75" s="103"/>
    </row>
    <row r="76" spans="1:9">
      <c r="A76" s="104">
        <v>3</v>
      </c>
      <c r="B76" s="104">
        <v>1</v>
      </c>
      <c r="C76" s="105" t="s">
        <v>63</v>
      </c>
      <c r="D76" s="106">
        <f>2007300+2007300</f>
        <v>4014600</v>
      </c>
      <c r="E76" s="107">
        <f>0</f>
        <v>0</v>
      </c>
      <c r="F76" s="106">
        <f>SUM(D76:E76)</f>
        <v>4014600</v>
      </c>
      <c r="G76" s="106">
        <v>1939200</v>
      </c>
      <c r="H76" s="106">
        <f>0</f>
        <v>0</v>
      </c>
      <c r="I76" s="117">
        <f>SUM(G76:H76)</f>
        <v>1939200</v>
      </c>
    </row>
    <row r="77" spans="1:9">
      <c r="A77" s="108" t="s">
        <v>58</v>
      </c>
      <c r="B77" s="109"/>
      <c r="C77" s="109"/>
      <c r="D77" s="110">
        <f>D76</f>
        <v>4014600</v>
      </c>
      <c r="E77" s="111">
        <f>E76</f>
        <v>0</v>
      </c>
      <c r="F77" s="112">
        <f>SUM(D77:E77)</f>
        <v>4014600</v>
      </c>
      <c r="G77" s="110">
        <f>SUM(G75:G76)</f>
        <v>1939200</v>
      </c>
      <c r="H77" s="111">
        <f>SUM(H75:H76)</f>
        <v>0</v>
      </c>
      <c r="I77" s="110">
        <f>SUM(G77:H77)</f>
        <v>1939200</v>
      </c>
    </row>
    <row r="78" spans="1:9">
      <c r="A78" s="108" t="s">
        <v>64</v>
      </c>
      <c r="B78" s="109"/>
      <c r="C78" s="109"/>
      <c r="D78" s="109"/>
      <c r="E78" s="109"/>
      <c r="F78" s="109"/>
      <c r="G78" s="109"/>
      <c r="H78" s="109"/>
      <c r="I78" s="113"/>
    </row>
    <row r="79" spans="1:9">
      <c r="A79" s="114">
        <v>4</v>
      </c>
      <c r="B79" s="115">
        <v>1</v>
      </c>
      <c r="C79" s="116" t="s">
        <v>565</v>
      </c>
      <c r="D79" s="106">
        <v>1779500</v>
      </c>
      <c r="E79" s="106">
        <v>504000</v>
      </c>
      <c r="F79" s="117">
        <f>SUM(D79:E79)</f>
        <v>2283500</v>
      </c>
      <c r="G79" s="106">
        <f>1779500+15760250</f>
        <v>17539750</v>
      </c>
      <c r="H79" s="248">
        <f>504000+6525000</f>
        <v>7029000</v>
      </c>
      <c r="I79" s="117">
        <f>SUM(G79:H79)</f>
        <v>24568750</v>
      </c>
    </row>
    <row r="80" spans="1:9">
      <c r="A80" s="114">
        <v>5</v>
      </c>
      <c r="B80" s="115">
        <v>2</v>
      </c>
      <c r="C80" s="116" t="s">
        <v>66</v>
      </c>
      <c r="D80" s="106">
        <v>959587</v>
      </c>
      <c r="E80" s="106">
        <v>286550</v>
      </c>
      <c r="F80" s="117">
        <f t="shared" ref="F80:F88" si="0">SUM(D80:E80)</f>
        <v>1246137</v>
      </c>
      <c r="G80" s="106">
        <v>959587</v>
      </c>
      <c r="H80" s="248">
        <v>296550</v>
      </c>
      <c r="I80" s="117">
        <f t="shared" ref="I80:I88" si="1">SUM(G80:H80)</f>
        <v>1256137</v>
      </c>
    </row>
    <row r="81" spans="1:9">
      <c r="A81" s="114">
        <v>6</v>
      </c>
      <c r="B81" s="115">
        <v>3</v>
      </c>
      <c r="C81" s="116" t="s">
        <v>67</v>
      </c>
      <c r="D81" s="106">
        <v>2539500</v>
      </c>
      <c r="E81" s="118">
        <v>269300</v>
      </c>
      <c r="F81" s="117">
        <f t="shared" si="0"/>
        <v>2808800</v>
      </c>
      <c r="G81" s="106">
        <v>2542500</v>
      </c>
      <c r="H81" s="249">
        <v>269300</v>
      </c>
      <c r="I81" s="117">
        <f t="shared" si="1"/>
        <v>2811800</v>
      </c>
    </row>
    <row r="82" spans="1:9">
      <c r="A82" s="114">
        <v>7</v>
      </c>
      <c r="B82" s="115">
        <v>4</v>
      </c>
      <c r="C82" s="116" t="s">
        <v>68</v>
      </c>
      <c r="D82" s="106">
        <v>1467063</v>
      </c>
      <c r="E82" s="106">
        <v>44000</v>
      </c>
      <c r="F82" s="117">
        <f t="shared" si="0"/>
        <v>1511063</v>
      </c>
      <c r="G82" s="106">
        <v>1467063</v>
      </c>
      <c r="H82" s="248">
        <v>44000</v>
      </c>
      <c r="I82" s="117">
        <f t="shared" si="1"/>
        <v>1511063</v>
      </c>
    </row>
    <row r="83" spans="1:9">
      <c r="A83" s="114">
        <v>8</v>
      </c>
      <c r="B83" s="115">
        <v>5</v>
      </c>
      <c r="C83" s="116" t="s">
        <v>69</v>
      </c>
      <c r="D83" s="106">
        <v>2114100</v>
      </c>
      <c r="E83" s="106">
        <v>147300</v>
      </c>
      <c r="F83" s="117">
        <f t="shared" si="0"/>
        <v>2261400</v>
      </c>
      <c r="G83" s="106">
        <v>2114100</v>
      </c>
      <c r="H83" s="248">
        <v>147300</v>
      </c>
      <c r="I83" s="117">
        <f t="shared" si="1"/>
        <v>2261400</v>
      </c>
    </row>
    <row r="84" spans="1:9">
      <c r="A84" s="114">
        <v>9</v>
      </c>
      <c r="B84" s="115">
        <v>6</v>
      </c>
      <c r="C84" s="116" t="s">
        <v>426</v>
      </c>
      <c r="D84" s="106">
        <v>3893450</v>
      </c>
      <c r="E84" s="106"/>
      <c r="F84" s="117">
        <f t="shared" si="0"/>
        <v>3893450</v>
      </c>
      <c r="G84" s="106">
        <v>3765200</v>
      </c>
      <c r="H84" s="248"/>
      <c r="I84" s="117">
        <f t="shared" si="1"/>
        <v>3765200</v>
      </c>
    </row>
    <row r="85" spans="1:9">
      <c r="A85" s="114">
        <v>10</v>
      </c>
      <c r="B85" s="115">
        <v>7</v>
      </c>
      <c r="C85" s="116" t="s">
        <v>71</v>
      </c>
      <c r="D85" s="106">
        <v>1507700</v>
      </c>
      <c r="E85" s="106">
        <v>1964500</v>
      </c>
      <c r="F85" s="117">
        <f t="shared" si="0"/>
        <v>3472200</v>
      </c>
      <c r="G85" s="106">
        <v>1507700</v>
      </c>
      <c r="H85" s="248">
        <v>1964500</v>
      </c>
      <c r="I85" s="117">
        <f t="shared" si="1"/>
        <v>3472200</v>
      </c>
    </row>
    <row r="86" spans="1:9">
      <c r="A86" s="114">
        <v>11</v>
      </c>
      <c r="B86" s="115">
        <v>8</v>
      </c>
      <c r="C86" s="116" t="s">
        <v>72</v>
      </c>
      <c r="D86" s="106"/>
      <c r="E86" s="106"/>
      <c r="F86" s="117">
        <f t="shared" si="0"/>
        <v>0</v>
      </c>
      <c r="G86" s="106">
        <f>610000+610000</f>
        <v>1220000</v>
      </c>
      <c r="H86" s="248">
        <f>875000+860000</f>
        <v>1735000</v>
      </c>
      <c r="I86" s="117">
        <f t="shared" si="1"/>
        <v>2955000</v>
      </c>
    </row>
    <row r="87" spans="1:9">
      <c r="A87" s="114">
        <v>12</v>
      </c>
      <c r="B87" s="115">
        <v>9</v>
      </c>
      <c r="C87" s="116" t="s">
        <v>73</v>
      </c>
      <c r="D87" s="106">
        <v>1526250</v>
      </c>
      <c r="E87" s="106">
        <v>52000</v>
      </c>
      <c r="F87" s="117">
        <f t="shared" si="0"/>
        <v>1578250</v>
      </c>
      <c r="G87" s="106">
        <v>1526250</v>
      </c>
      <c r="H87" s="248">
        <v>52000</v>
      </c>
      <c r="I87" s="117">
        <f t="shared" si="1"/>
        <v>1578250</v>
      </c>
    </row>
    <row r="88" spans="1:9">
      <c r="A88" s="114">
        <v>13</v>
      </c>
      <c r="B88" s="115">
        <v>10</v>
      </c>
      <c r="C88" s="119" t="s">
        <v>74</v>
      </c>
      <c r="D88" s="106">
        <v>320515</v>
      </c>
      <c r="E88" s="106">
        <v>58000</v>
      </c>
      <c r="F88" s="117">
        <f t="shared" si="0"/>
        <v>378515</v>
      </c>
      <c r="G88" s="106">
        <v>320515</v>
      </c>
      <c r="H88" s="248">
        <v>58000</v>
      </c>
      <c r="I88" s="117">
        <f t="shared" si="1"/>
        <v>378515</v>
      </c>
    </row>
    <row r="89" spans="1:9">
      <c r="A89" s="108" t="s">
        <v>58</v>
      </c>
      <c r="B89" s="109"/>
      <c r="C89" s="109"/>
      <c r="D89" s="110">
        <f>SUM(D79:D88)</f>
        <v>16107665</v>
      </c>
      <c r="E89" s="110">
        <f>SUM(E79:E88)</f>
        <v>3325650</v>
      </c>
      <c r="F89" s="110">
        <f>SUM(D89:E89)</f>
        <v>19433315</v>
      </c>
      <c r="G89" s="110">
        <f>SUM(G79:G88)</f>
        <v>32962665</v>
      </c>
      <c r="H89" s="110">
        <f>SUM(H79:H88)</f>
        <v>11595650</v>
      </c>
      <c r="I89" s="110">
        <f>SUM(G89:H89)</f>
        <v>44558315</v>
      </c>
    </row>
    <row r="90" spans="1:9">
      <c r="A90" s="108" t="s">
        <v>75</v>
      </c>
      <c r="B90" s="109"/>
      <c r="C90" s="109"/>
      <c r="D90" s="109"/>
      <c r="E90" s="109"/>
      <c r="F90" s="109"/>
      <c r="G90" s="109"/>
      <c r="H90" s="109"/>
      <c r="I90" s="113"/>
    </row>
    <row r="91" spans="1:9">
      <c r="A91" s="120">
        <v>14</v>
      </c>
      <c r="B91" s="119">
        <v>1</v>
      </c>
      <c r="C91" s="116" t="s">
        <v>76</v>
      </c>
      <c r="D91" s="106">
        <v>2659068</v>
      </c>
      <c r="E91" s="219">
        <v>1861215</v>
      </c>
      <c r="F91" s="117">
        <f>SUM(D91:E91)</f>
        <v>4520283</v>
      </c>
      <c r="G91" s="106">
        <v>2661978</v>
      </c>
      <c r="H91" s="250">
        <v>1854215</v>
      </c>
      <c r="I91" s="117">
        <f>SUM(G91:H91)</f>
        <v>4516193</v>
      </c>
    </row>
    <row r="92" spans="1:9">
      <c r="A92" s="120">
        <v>15</v>
      </c>
      <c r="B92" s="119">
        <v>2</v>
      </c>
      <c r="C92" s="116" t="s">
        <v>77</v>
      </c>
      <c r="D92" s="106">
        <v>3690286</v>
      </c>
      <c r="E92" s="106">
        <v>5155000</v>
      </c>
      <c r="F92" s="117">
        <f t="shared" ref="F92:F104" si="2">SUM(D92:E92)</f>
        <v>8845286</v>
      </c>
      <c r="G92" s="106">
        <v>3627686</v>
      </c>
      <c r="H92" s="248">
        <v>5150000</v>
      </c>
      <c r="I92" s="117">
        <f t="shared" ref="I92:I104" si="3">SUM(G92:H92)</f>
        <v>8777686</v>
      </c>
    </row>
    <row r="93" spans="1:9">
      <c r="A93" s="120">
        <v>16</v>
      </c>
      <c r="B93" s="119">
        <v>3</v>
      </c>
      <c r="C93" s="116" t="s">
        <v>78</v>
      </c>
      <c r="D93" s="106">
        <v>2777300</v>
      </c>
      <c r="E93" s="106">
        <v>788000</v>
      </c>
      <c r="F93" s="117">
        <f t="shared" si="2"/>
        <v>3565300</v>
      </c>
      <c r="G93" s="106">
        <v>2777300</v>
      </c>
      <c r="H93" s="248">
        <v>784000</v>
      </c>
      <c r="I93" s="117">
        <f t="shared" si="3"/>
        <v>3561300</v>
      </c>
    </row>
    <row r="94" spans="1:9">
      <c r="A94" s="120">
        <v>17</v>
      </c>
      <c r="B94" s="119">
        <v>4</v>
      </c>
      <c r="C94" s="116" t="s">
        <v>79</v>
      </c>
      <c r="D94" s="106">
        <v>966440</v>
      </c>
      <c r="E94" s="106">
        <v>1440392</v>
      </c>
      <c r="F94" s="117">
        <f t="shared" si="2"/>
        <v>2406832</v>
      </c>
      <c r="G94" s="106">
        <v>966440</v>
      </c>
      <c r="H94" s="248">
        <v>1430392</v>
      </c>
      <c r="I94" s="117">
        <f t="shared" si="3"/>
        <v>2396832</v>
      </c>
    </row>
    <row r="95" spans="1:9">
      <c r="A95" s="120">
        <v>18</v>
      </c>
      <c r="B95" s="119">
        <v>5</v>
      </c>
      <c r="C95" s="116" t="s">
        <v>80</v>
      </c>
      <c r="D95" s="106">
        <v>2735200</v>
      </c>
      <c r="E95" s="106">
        <v>100000</v>
      </c>
      <c r="F95" s="117">
        <f t="shared" si="2"/>
        <v>2835200</v>
      </c>
      <c r="G95" s="106"/>
      <c r="H95" s="248"/>
      <c r="I95" s="117">
        <f t="shared" si="3"/>
        <v>0</v>
      </c>
    </row>
    <row r="96" spans="1:9">
      <c r="A96" s="120">
        <v>19</v>
      </c>
      <c r="B96" s="119">
        <v>6</v>
      </c>
      <c r="C96" s="116" t="s">
        <v>81</v>
      </c>
      <c r="D96" s="106">
        <v>1939500</v>
      </c>
      <c r="E96" s="106">
        <v>145000</v>
      </c>
      <c r="F96" s="117">
        <f t="shared" si="2"/>
        <v>2084500</v>
      </c>
      <c r="G96" s="106">
        <v>1940500</v>
      </c>
      <c r="H96" s="248">
        <v>145000</v>
      </c>
      <c r="I96" s="117">
        <f t="shared" si="3"/>
        <v>2085500</v>
      </c>
    </row>
    <row r="97" spans="1:9">
      <c r="A97" s="120">
        <v>20</v>
      </c>
      <c r="B97" s="119">
        <v>7</v>
      </c>
      <c r="C97" s="116" t="s">
        <v>82</v>
      </c>
      <c r="D97" s="106">
        <v>4360700</v>
      </c>
      <c r="E97" s="106">
        <v>189700</v>
      </c>
      <c r="F97" s="117">
        <f t="shared" si="2"/>
        <v>4550400</v>
      </c>
      <c r="G97" s="106">
        <v>4083250</v>
      </c>
      <c r="H97" s="248">
        <v>189700</v>
      </c>
      <c r="I97" s="117">
        <f t="shared" si="3"/>
        <v>4272950</v>
      </c>
    </row>
    <row r="98" spans="1:9">
      <c r="A98" s="120">
        <v>21</v>
      </c>
      <c r="B98" s="119">
        <v>8</v>
      </c>
      <c r="C98" s="116" t="s">
        <v>83</v>
      </c>
      <c r="D98" s="106">
        <v>1068028</v>
      </c>
      <c r="E98" s="106">
        <v>865700</v>
      </c>
      <c r="F98" s="117">
        <f t="shared" si="2"/>
        <v>1933728</v>
      </c>
      <c r="G98" s="106">
        <v>1043529</v>
      </c>
      <c r="H98" s="248">
        <v>864700</v>
      </c>
      <c r="I98" s="117">
        <f t="shared" si="3"/>
        <v>1908229</v>
      </c>
    </row>
    <row r="99" spans="1:9">
      <c r="A99" s="120">
        <v>22</v>
      </c>
      <c r="B99" s="119">
        <v>9</v>
      </c>
      <c r="C99" s="116" t="s">
        <v>84</v>
      </c>
      <c r="D99" s="106">
        <f>748000+748000</f>
        <v>1496000</v>
      </c>
      <c r="E99" s="106">
        <f>162000+162000</f>
        <v>324000</v>
      </c>
      <c r="F99" s="117">
        <f t="shared" si="2"/>
        <v>1820000</v>
      </c>
      <c r="G99" s="106">
        <v>748000</v>
      </c>
      <c r="H99" s="248">
        <f>162000</f>
        <v>162000</v>
      </c>
      <c r="I99" s="117">
        <f t="shared" si="3"/>
        <v>910000</v>
      </c>
    </row>
    <row r="100" spans="1:9">
      <c r="A100" s="120">
        <v>23</v>
      </c>
      <c r="B100" s="119">
        <v>10</v>
      </c>
      <c r="C100" s="116" t="s">
        <v>85</v>
      </c>
      <c r="D100" s="106">
        <v>3013114</v>
      </c>
      <c r="E100" s="106">
        <v>58000</v>
      </c>
      <c r="F100" s="117">
        <f t="shared" si="2"/>
        <v>3071114</v>
      </c>
      <c r="G100" s="106">
        <v>2999614</v>
      </c>
      <c r="H100" s="248">
        <v>58000</v>
      </c>
      <c r="I100" s="117">
        <f t="shared" si="3"/>
        <v>3057614</v>
      </c>
    </row>
    <row r="101" spans="1:9">
      <c r="A101" s="120">
        <v>24</v>
      </c>
      <c r="B101" s="119">
        <v>11</v>
      </c>
      <c r="C101" s="116" t="s">
        <v>427</v>
      </c>
      <c r="D101" s="106">
        <v>2803021</v>
      </c>
      <c r="E101" s="106">
        <v>1360000</v>
      </c>
      <c r="F101" s="117">
        <f t="shared" si="2"/>
        <v>4163021</v>
      </c>
      <c r="G101" s="106">
        <v>2808439</v>
      </c>
      <c r="H101" s="248">
        <v>1340000</v>
      </c>
      <c r="I101" s="117">
        <f t="shared" si="3"/>
        <v>4148439</v>
      </c>
    </row>
    <row r="102" spans="1:9">
      <c r="A102" s="120">
        <v>25</v>
      </c>
      <c r="B102" s="119">
        <v>12</v>
      </c>
      <c r="C102" s="116" t="s">
        <v>87</v>
      </c>
      <c r="D102" s="106">
        <v>1572800</v>
      </c>
      <c r="E102" s="106">
        <v>464192</v>
      </c>
      <c r="F102" s="117">
        <f t="shared" si="2"/>
        <v>2036992</v>
      </c>
      <c r="G102" s="106">
        <v>1572800</v>
      </c>
      <c r="H102" s="248">
        <v>464192</v>
      </c>
      <c r="I102" s="117">
        <f t="shared" si="3"/>
        <v>2036992</v>
      </c>
    </row>
    <row r="103" spans="1:9">
      <c r="A103" s="120">
        <v>26</v>
      </c>
      <c r="B103" s="119">
        <v>13</v>
      </c>
      <c r="C103" s="116" t="s">
        <v>88</v>
      </c>
      <c r="D103" s="106">
        <v>1685000</v>
      </c>
      <c r="E103" s="219">
        <v>640000</v>
      </c>
      <c r="F103" s="117">
        <f t="shared" si="2"/>
        <v>2325000</v>
      </c>
      <c r="G103" s="106">
        <v>1685000</v>
      </c>
      <c r="H103" s="250">
        <v>640000</v>
      </c>
      <c r="I103" s="117">
        <f t="shared" si="3"/>
        <v>2325000</v>
      </c>
    </row>
    <row r="104" spans="1:9">
      <c r="A104" s="120">
        <v>27</v>
      </c>
      <c r="B104" s="119">
        <v>14</v>
      </c>
      <c r="C104" s="116" t="s">
        <v>89</v>
      </c>
      <c r="D104" s="106">
        <v>364390</v>
      </c>
      <c r="E104" s="106">
        <v>543000</v>
      </c>
      <c r="F104" s="117">
        <f t="shared" si="2"/>
        <v>907390</v>
      </c>
      <c r="G104" s="106">
        <v>182000</v>
      </c>
      <c r="H104" s="248">
        <f>269000</f>
        <v>269000</v>
      </c>
      <c r="I104" s="117">
        <f t="shared" si="3"/>
        <v>451000</v>
      </c>
    </row>
    <row r="105" spans="1:9">
      <c r="A105" s="108" t="s">
        <v>58</v>
      </c>
      <c r="B105" s="109"/>
      <c r="C105" s="109"/>
      <c r="D105" s="110">
        <f>SUM(D91:D104)</f>
        <v>31130847</v>
      </c>
      <c r="E105" s="110">
        <f>SUM(E91:E104)</f>
        <v>13934199</v>
      </c>
      <c r="F105" s="110">
        <f>SUM(D105:E105)</f>
        <v>45065046</v>
      </c>
      <c r="G105" s="110">
        <f>SUM(G91:G104)</f>
        <v>27096536</v>
      </c>
      <c r="H105" s="110">
        <f>SUM(H91:H104)</f>
        <v>13351199</v>
      </c>
      <c r="I105" s="110">
        <f>SUM(G105:H105)</f>
        <v>40447735</v>
      </c>
    </row>
    <row r="106" spans="1:9">
      <c r="A106" s="108" t="s">
        <v>90</v>
      </c>
      <c r="B106" s="109"/>
      <c r="C106" s="109"/>
      <c r="D106" s="109"/>
      <c r="E106" s="109"/>
      <c r="F106" s="109"/>
      <c r="G106" s="109"/>
      <c r="H106" s="109"/>
      <c r="I106" s="113"/>
    </row>
    <row r="107" spans="1:9">
      <c r="A107" s="119">
        <v>28</v>
      </c>
      <c r="B107" s="119">
        <v>1</v>
      </c>
      <c r="C107" s="116" t="s">
        <v>91</v>
      </c>
      <c r="D107" s="106">
        <v>350000</v>
      </c>
      <c r="E107" s="106">
        <v>305000</v>
      </c>
      <c r="F107" s="117">
        <f>SUM(D107:E107)</f>
        <v>655000</v>
      </c>
      <c r="G107" s="106">
        <v>350000</v>
      </c>
      <c r="H107" s="248">
        <v>305000</v>
      </c>
      <c r="I107" s="117">
        <f>SUM(G107:H107)</f>
        <v>655000</v>
      </c>
    </row>
    <row r="108" spans="1:9">
      <c r="A108" s="119">
        <v>29</v>
      </c>
      <c r="B108" s="119">
        <v>2</v>
      </c>
      <c r="C108" s="121" t="s">
        <v>92</v>
      </c>
      <c r="D108" s="106">
        <f>0</f>
        <v>0</v>
      </c>
      <c r="E108" s="106">
        <f>0</f>
        <v>0</v>
      </c>
      <c r="F108" s="117">
        <f t="shared" ref="F108:F115" si="4">SUM(D108:E108)</f>
        <v>0</v>
      </c>
      <c r="G108" s="106">
        <f>0</f>
        <v>0</v>
      </c>
      <c r="H108" s="248">
        <f>0</f>
        <v>0</v>
      </c>
      <c r="I108" s="117">
        <f t="shared" ref="I108:I115" si="5">SUM(G108:H108)</f>
        <v>0</v>
      </c>
    </row>
    <row r="109" spans="1:9">
      <c r="A109" s="119">
        <v>30</v>
      </c>
      <c r="B109" s="119">
        <v>3</v>
      </c>
      <c r="C109" s="121" t="s">
        <v>93</v>
      </c>
      <c r="D109" s="106">
        <f>0</f>
        <v>0</v>
      </c>
      <c r="E109" s="106">
        <f>0</f>
        <v>0</v>
      </c>
      <c r="F109" s="117">
        <f>SUM(D109:E109)</f>
        <v>0</v>
      </c>
      <c r="G109" s="106">
        <v>1152000</v>
      </c>
      <c r="H109" s="248">
        <v>120000</v>
      </c>
      <c r="I109" s="117">
        <f t="shared" si="5"/>
        <v>1272000</v>
      </c>
    </row>
    <row r="110" spans="1:9">
      <c r="A110" s="119">
        <v>31</v>
      </c>
      <c r="B110" s="119">
        <v>4</v>
      </c>
      <c r="C110" s="121" t="s">
        <v>94</v>
      </c>
      <c r="D110" s="106">
        <v>256000</v>
      </c>
      <c r="E110" s="106">
        <v>185000</v>
      </c>
      <c r="F110" s="117">
        <f t="shared" si="4"/>
        <v>441000</v>
      </c>
      <c r="G110" s="106">
        <v>256000</v>
      </c>
      <c r="H110" s="248">
        <v>185000</v>
      </c>
      <c r="I110" s="117">
        <f t="shared" si="5"/>
        <v>441000</v>
      </c>
    </row>
    <row r="111" spans="1:9">
      <c r="A111" s="119">
        <v>32</v>
      </c>
      <c r="B111" s="119">
        <v>5</v>
      </c>
      <c r="C111" s="121" t="s">
        <v>95</v>
      </c>
      <c r="D111" s="106">
        <v>148000</v>
      </c>
      <c r="E111" s="106">
        <v>260000</v>
      </c>
      <c r="F111" s="117">
        <f t="shared" si="4"/>
        <v>408000</v>
      </c>
      <c r="G111" s="106">
        <v>148000</v>
      </c>
      <c r="H111" s="248">
        <v>260000</v>
      </c>
      <c r="I111" s="117">
        <f t="shared" si="5"/>
        <v>408000</v>
      </c>
    </row>
    <row r="112" spans="1:9">
      <c r="A112" s="119">
        <v>33</v>
      </c>
      <c r="B112" s="119">
        <v>6</v>
      </c>
      <c r="C112" s="121" t="s">
        <v>96</v>
      </c>
      <c r="D112" s="106">
        <v>437500</v>
      </c>
      <c r="E112" s="106">
        <v>42000</v>
      </c>
      <c r="F112" s="117">
        <f t="shared" si="4"/>
        <v>479500</v>
      </c>
      <c r="G112" s="106">
        <v>437500</v>
      </c>
      <c r="H112" s="248">
        <v>42000</v>
      </c>
      <c r="I112" s="117">
        <f t="shared" si="5"/>
        <v>479500</v>
      </c>
    </row>
    <row r="113" spans="1:9">
      <c r="A113" s="119">
        <v>34</v>
      </c>
      <c r="B113" s="119">
        <v>7</v>
      </c>
      <c r="C113" s="121" t="s">
        <v>97</v>
      </c>
      <c r="D113" s="106">
        <v>777400</v>
      </c>
      <c r="E113" s="106">
        <v>311500</v>
      </c>
      <c r="F113" s="117">
        <f t="shared" si="4"/>
        <v>1088900</v>
      </c>
      <c r="G113" s="106">
        <v>640600</v>
      </c>
      <c r="H113" s="248">
        <v>306500</v>
      </c>
      <c r="I113" s="117">
        <f t="shared" si="5"/>
        <v>947100</v>
      </c>
    </row>
    <row r="114" spans="1:9">
      <c r="A114" s="119">
        <v>35</v>
      </c>
      <c r="B114" s="119">
        <v>8</v>
      </c>
      <c r="C114" s="121" t="s">
        <v>98</v>
      </c>
      <c r="D114" s="106">
        <v>460400</v>
      </c>
      <c r="E114" s="106">
        <v>90000</v>
      </c>
      <c r="F114" s="117">
        <f t="shared" si="4"/>
        <v>550400</v>
      </c>
      <c r="G114" s="106">
        <v>460400</v>
      </c>
      <c r="H114" s="248">
        <v>90000</v>
      </c>
      <c r="I114" s="117">
        <f t="shared" si="5"/>
        <v>550400</v>
      </c>
    </row>
    <row r="115" spans="1:9">
      <c r="A115" s="119">
        <v>36</v>
      </c>
      <c r="B115" s="119">
        <v>9</v>
      </c>
      <c r="C115" s="122" t="s">
        <v>99</v>
      </c>
      <c r="D115" s="106">
        <v>887250</v>
      </c>
      <c r="E115" s="106">
        <v>303000</v>
      </c>
      <c r="F115" s="117">
        <f t="shared" si="4"/>
        <v>1190250</v>
      </c>
      <c r="G115" s="106">
        <v>887450</v>
      </c>
      <c r="H115" s="248">
        <v>303000</v>
      </c>
      <c r="I115" s="117">
        <f t="shared" si="5"/>
        <v>1190450</v>
      </c>
    </row>
    <row r="116" spans="1:9">
      <c r="A116" s="108" t="s">
        <v>101</v>
      </c>
      <c r="B116" s="109"/>
      <c r="C116" s="123"/>
      <c r="D116" s="110">
        <f>SUM(D107:D115)</f>
        <v>3316550</v>
      </c>
      <c r="E116" s="110">
        <f>SUM(E107:E115)</f>
        <v>1496500</v>
      </c>
      <c r="F116" s="110">
        <f>SUM(D116:E116)</f>
        <v>4813050</v>
      </c>
      <c r="G116" s="110">
        <f>SUM(G107:G115)</f>
        <v>4331950</v>
      </c>
      <c r="H116" s="110">
        <f>SUM(H107:H115)</f>
        <v>1611500</v>
      </c>
      <c r="I116" s="110">
        <f>SUM(G116:H116)</f>
        <v>5943450</v>
      </c>
    </row>
    <row r="117" spans="1:9">
      <c r="A117" s="108" t="s">
        <v>102</v>
      </c>
      <c r="B117" s="109"/>
      <c r="C117" s="109"/>
      <c r="D117" s="109"/>
      <c r="E117" s="109"/>
      <c r="F117" s="109"/>
      <c r="G117" s="109"/>
      <c r="H117" s="109"/>
      <c r="I117" s="113"/>
    </row>
    <row r="118" spans="1:9">
      <c r="A118" s="119">
        <v>37</v>
      </c>
      <c r="B118" s="119">
        <v>1</v>
      </c>
      <c r="C118" s="116" t="s">
        <v>103</v>
      </c>
      <c r="D118" s="106">
        <v>100000</v>
      </c>
      <c r="E118" s="106">
        <v>55000</v>
      </c>
      <c r="F118" s="117">
        <f>SUM(D118:E118)</f>
        <v>155000</v>
      </c>
      <c r="G118" s="106">
        <v>100000</v>
      </c>
      <c r="H118" s="248">
        <v>55000</v>
      </c>
      <c r="I118" s="117">
        <f>SUM(G118:H118)</f>
        <v>155000</v>
      </c>
    </row>
    <row r="119" spans="1:9">
      <c r="A119" s="119">
        <v>38</v>
      </c>
      <c r="B119" s="119">
        <v>2</v>
      </c>
      <c r="C119" s="116" t="s">
        <v>104</v>
      </c>
      <c r="D119" s="106">
        <f>0</f>
        <v>0</v>
      </c>
      <c r="E119" s="106">
        <f>0</f>
        <v>0</v>
      </c>
      <c r="F119" s="117">
        <f>SUM(D119:E119)</f>
        <v>0</v>
      </c>
      <c r="G119" s="106">
        <f>0</f>
        <v>0</v>
      </c>
      <c r="H119" s="248">
        <f>0</f>
        <v>0</v>
      </c>
      <c r="I119" s="117">
        <f>SUM(G119:H119)</f>
        <v>0</v>
      </c>
    </row>
    <row r="120" spans="1:9">
      <c r="A120" s="119">
        <v>39</v>
      </c>
      <c r="B120" s="119">
        <v>3</v>
      </c>
      <c r="C120" s="116" t="s">
        <v>105</v>
      </c>
      <c r="D120" s="106">
        <v>1378000</v>
      </c>
      <c r="E120" s="106">
        <f>0</f>
        <v>0</v>
      </c>
      <c r="F120" s="117">
        <f>SUM(D120:E120)</f>
        <v>1378000</v>
      </c>
      <c r="G120" s="106">
        <v>1378300</v>
      </c>
      <c r="H120" s="248"/>
      <c r="I120" s="117">
        <f>SUM(G120:H120)</f>
        <v>1378300</v>
      </c>
    </row>
    <row r="121" spans="1:9">
      <c r="A121" s="119">
        <v>40</v>
      </c>
      <c r="B121" s="119">
        <v>5</v>
      </c>
      <c r="C121" s="116" t="s">
        <v>106</v>
      </c>
      <c r="D121" s="106">
        <v>382700</v>
      </c>
      <c r="E121" s="106">
        <v>100000</v>
      </c>
      <c r="F121" s="117">
        <f>SUM(D121:E121)</f>
        <v>482700</v>
      </c>
      <c r="G121" s="106">
        <v>382700</v>
      </c>
      <c r="H121" s="248">
        <v>100000</v>
      </c>
      <c r="I121" s="117">
        <f>SUM(G121:H121)</f>
        <v>482700</v>
      </c>
    </row>
    <row r="122" spans="1:9">
      <c r="A122" s="108" t="s">
        <v>58</v>
      </c>
      <c r="B122" s="109"/>
      <c r="C122" s="109"/>
      <c r="D122" s="110">
        <f>SUM(D118:D121)</f>
        <v>1860700</v>
      </c>
      <c r="E122" s="110">
        <f>SUM(E118:E121)</f>
        <v>155000</v>
      </c>
      <c r="F122" s="110">
        <f>SUM(D122:E122)</f>
        <v>2015700</v>
      </c>
      <c r="G122" s="110">
        <f>SUM(G118:G121)</f>
        <v>1861000</v>
      </c>
      <c r="H122" s="110">
        <f>SUM(H118:H121)</f>
        <v>155000</v>
      </c>
      <c r="I122" s="110">
        <f>SUM(G122:H122)</f>
        <v>2016000</v>
      </c>
    </row>
    <row r="123" spans="1:9">
      <c r="A123" s="108" t="s">
        <v>107</v>
      </c>
      <c r="B123" s="109"/>
      <c r="C123" s="109"/>
      <c r="D123" s="109"/>
      <c r="E123" s="109"/>
      <c r="F123" s="109"/>
      <c r="G123" s="109"/>
      <c r="H123" s="109"/>
      <c r="I123" s="113"/>
    </row>
    <row r="124" spans="1:9">
      <c r="A124" s="119">
        <v>41</v>
      </c>
      <c r="B124" s="119">
        <v>1</v>
      </c>
      <c r="C124" s="119" t="s">
        <v>108</v>
      </c>
      <c r="D124" s="106">
        <v>500000</v>
      </c>
      <c r="E124" s="106">
        <v>100000</v>
      </c>
      <c r="F124" s="117">
        <f>SUM(D124:E124)</f>
        <v>600000</v>
      </c>
      <c r="G124" s="106">
        <v>500000</v>
      </c>
      <c r="H124" s="248">
        <v>100000</v>
      </c>
      <c r="I124" s="117">
        <f>SUM(G124:H124)</f>
        <v>600000</v>
      </c>
    </row>
    <row r="125" spans="1:9">
      <c r="A125" s="108" t="s">
        <v>101</v>
      </c>
      <c r="B125" s="109"/>
      <c r="C125" s="109"/>
      <c r="D125" s="110">
        <f>D124</f>
        <v>500000</v>
      </c>
      <c r="E125" s="110">
        <f>E124</f>
        <v>100000</v>
      </c>
      <c r="F125" s="110">
        <f>SUM(D125:E125)</f>
        <v>600000</v>
      </c>
      <c r="G125" s="110">
        <f>G124</f>
        <v>500000</v>
      </c>
      <c r="H125" s="110">
        <f>H124</f>
        <v>100000</v>
      </c>
      <c r="I125" s="110">
        <f>SUM(G125:H125)</f>
        <v>600000</v>
      </c>
    </row>
    <row r="126" spans="1:9">
      <c r="A126" s="108" t="s">
        <v>109</v>
      </c>
      <c r="B126" s="109"/>
      <c r="C126" s="109"/>
      <c r="D126" s="109"/>
      <c r="E126" s="109"/>
      <c r="F126" s="109"/>
      <c r="G126" s="109"/>
      <c r="H126" s="109"/>
      <c r="I126" s="113"/>
    </row>
    <row r="127" spans="1:9">
      <c r="A127" s="119">
        <v>42</v>
      </c>
      <c r="B127" s="119">
        <v>1</v>
      </c>
      <c r="C127" s="121" t="s">
        <v>110</v>
      </c>
      <c r="D127" s="106">
        <v>1724427</v>
      </c>
      <c r="E127" s="106">
        <v>510650</v>
      </c>
      <c r="F127" s="117">
        <f>SUM(D127:E127)</f>
        <v>2235077</v>
      </c>
      <c r="G127" s="106">
        <v>1724427</v>
      </c>
      <c r="H127" s="248">
        <v>510650</v>
      </c>
      <c r="I127" s="117">
        <f>SUM(G127:H127)</f>
        <v>2235077</v>
      </c>
    </row>
    <row r="128" spans="1:9">
      <c r="A128" s="108" t="s">
        <v>101</v>
      </c>
      <c r="B128" s="109"/>
      <c r="C128" s="109"/>
      <c r="D128" s="110">
        <f>D127</f>
        <v>1724427</v>
      </c>
      <c r="E128" s="110">
        <f>E127</f>
        <v>510650</v>
      </c>
      <c r="F128" s="110">
        <f>SUM(D128:E128)</f>
        <v>2235077</v>
      </c>
      <c r="G128" s="110">
        <f>G127</f>
        <v>1724427</v>
      </c>
      <c r="H128" s="110">
        <f>H127</f>
        <v>510650</v>
      </c>
      <c r="I128" s="110">
        <f>SUM(G128:H128)</f>
        <v>2235077</v>
      </c>
    </row>
    <row r="129" spans="1:9">
      <c r="A129" s="108" t="s">
        <v>111</v>
      </c>
      <c r="B129" s="109"/>
      <c r="C129" s="109"/>
      <c r="D129" s="109"/>
      <c r="E129" s="109"/>
      <c r="F129" s="109"/>
      <c r="G129" s="109"/>
      <c r="H129" s="109"/>
      <c r="I129" s="113"/>
    </row>
    <row r="130" spans="1:9">
      <c r="A130" s="119">
        <v>43</v>
      </c>
      <c r="B130" s="119">
        <v>1</v>
      </c>
      <c r="C130" s="121" t="s">
        <v>112</v>
      </c>
      <c r="D130" s="106">
        <v>1644500</v>
      </c>
      <c r="E130" s="106">
        <v>649500</v>
      </c>
      <c r="F130" s="117">
        <f>SUM(D130:E130)</f>
        <v>2294000</v>
      </c>
      <c r="G130" s="106">
        <v>1644500</v>
      </c>
      <c r="H130" s="248">
        <v>649500</v>
      </c>
      <c r="I130" s="117">
        <f>SUM(G130:H130)</f>
        <v>2294000</v>
      </c>
    </row>
    <row r="131" spans="1:9">
      <c r="A131" s="119">
        <v>44</v>
      </c>
      <c r="B131" s="119">
        <v>2</v>
      </c>
      <c r="C131" s="121" t="s">
        <v>113</v>
      </c>
      <c r="D131" s="106">
        <f>0</f>
        <v>0</v>
      </c>
      <c r="E131" s="106">
        <v>660000</v>
      </c>
      <c r="F131" s="117">
        <f t="shared" ref="F131:F142" si="6">SUM(D131:E131)</f>
        <v>660000</v>
      </c>
      <c r="G131" s="106"/>
      <c r="H131" s="248">
        <v>330000</v>
      </c>
      <c r="I131" s="117">
        <f t="shared" ref="I131:I149" si="7">SUM(G131:H131)</f>
        <v>330000</v>
      </c>
    </row>
    <row r="132" spans="1:9">
      <c r="A132" s="119">
        <v>45</v>
      </c>
      <c r="B132" s="119">
        <v>3</v>
      </c>
      <c r="C132" s="125" t="s">
        <v>114</v>
      </c>
      <c r="D132" s="106">
        <v>1643000</v>
      </c>
      <c r="E132" s="106">
        <f>0</f>
        <v>0</v>
      </c>
      <c r="F132" s="117">
        <f t="shared" si="6"/>
        <v>1643000</v>
      </c>
      <c r="G132" s="106">
        <v>1643000</v>
      </c>
      <c r="H132" s="248"/>
      <c r="I132" s="117">
        <f t="shared" si="7"/>
        <v>1643000</v>
      </c>
    </row>
    <row r="133" spans="1:9">
      <c r="A133" s="119">
        <v>46</v>
      </c>
      <c r="B133" s="124">
        <v>4</v>
      </c>
      <c r="C133" s="125" t="s">
        <v>115</v>
      </c>
      <c r="D133" s="106">
        <f>0</f>
        <v>0</v>
      </c>
      <c r="E133" s="106"/>
      <c r="F133" s="117">
        <f t="shared" si="6"/>
        <v>0</v>
      </c>
      <c r="G133" s="106">
        <f>0</f>
        <v>0</v>
      </c>
      <c r="H133" s="248">
        <v>448000</v>
      </c>
      <c r="I133" s="117">
        <f t="shared" si="7"/>
        <v>448000</v>
      </c>
    </row>
    <row r="134" spans="1:9">
      <c r="A134" s="119">
        <v>47</v>
      </c>
      <c r="B134" s="119">
        <v>5</v>
      </c>
      <c r="C134" s="125" t="s">
        <v>116</v>
      </c>
      <c r="D134" s="106">
        <v>505700</v>
      </c>
      <c r="E134" s="106">
        <v>146000</v>
      </c>
      <c r="F134" s="117">
        <f t="shared" si="6"/>
        <v>651700</v>
      </c>
      <c r="G134" s="106">
        <v>505700</v>
      </c>
      <c r="H134" s="248">
        <v>136000</v>
      </c>
      <c r="I134" s="117">
        <f t="shared" si="7"/>
        <v>641700</v>
      </c>
    </row>
    <row r="135" spans="1:9">
      <c r="A135" s="119">
        <v>48</v>
      </c>
      <c r="B135" s="119">
        <v>6</v>
      </c>
      <c r="C135" s="125" t="s">
        <v>117</v>
      </c>
      <c r="D135" s="106">
        <v>801817</v>
      </c>
      <c r="E135" s="106">
        <v>135000</v>
      </c>
      <c r="F135" s="117">
        <f t="shared" si="6"/>
        <v>936817</v>
      </c>
      <c r="G135" s="106">
        <v>671502</v>
      </c>
      <c r="H135" s="248">
        <v>230000</v>
      </c>
      <c r="I135" s="117">
        <f t="shared" si="7"/>
        <v>901502</v>
      </c>
    </row>
    <row r="136" spans="1:9">
      <c r="A136" s="119">
        <v>49</v>
      </c>
      <c r="B136" s="119">
        <v>7</v>
      </c>
      <c r="C136" s="125" t="s">
        <v>118</v>
      </c>
      <c r="D136" s="106">
        <v>724000</v>
      </c>
      <c r="E136" s="106">
        <v>150000</v>
      </c>
      <c r="F136" s="117">
        <f t="shared" si="6"/>
        <v>874000</v>
      </c>
      <c r="G136" s="106">
        <v>724000</v>
      </c>
      <c r="H136" s="248">
        <v>150000</v>
      </c>
      <c r="I136" s="117">
        <f t="shared" si="7"/>
        <v>874000</v>
      </c>
    </row>
    <row r="137" spans="1:9">
      <c r="A137" s="119">
        <v>50</v>
      </c>
      <c r="B137" s="119">
        <v>8</v>
      </c>
      <c r="C137" s="121" t="s">
        <v>119</v>
      </c>
      <c r="D137" s="106">
        <v>615000</v>
      </c>
      <c r="E137" s="106">
        <v>100000</v>
      </c>
      <c r="F137" s="117">
        <f t="shared" si="6"/>
        <v>715000</v>
      </c>
      <c r="G137" s="106">
        <v>615000</v>
      </c>
      <c r="H137" s="248">
        <v>100000</v>
      </c>
      <c r="I137" s="117">
        <f t="shared" si="7"/>
        <v>715000</v>
      </c>
    </row>
    <row r="138" spans="1:9">
      <c r="A138" s="119">
        <v>51</v>
      </c>
      <c r="B138" s="119">
        <v>9</v>
      </c>
      <c r="C138" s="121" t="s">
        <v>120</v>
      </c>
      <c r="D138" s="106">
        <f>554000+554000</f>
        <v>1108000</v>
      </c>
      <c r="E138" s="106">
        <f>220000+220000</f>
        <v>440000</v>
      </c>
      <c r="F138" s="117">
        <f t="shared" si="6"/>
        <v>1548000</v>
      </c>
      <c r="G138" s="106">
        <v>554000</v>
      </c>
      <c r="H138" s="248">
        <v>220000</v>
      </c>
      <c r="I138" s="117">
        <f t="shared" si="7"/>
        <v>774000</v>
      </c>
    </row>
    <row r="139" spans="1:9">
      <c r="A139" s="119">
        <v>52</v>
      </c>
      <c r="B139" s="119">
        <v>10</v>
      </c>
      <c r="C139" s="121" t="s">
        <v>121</v>
      </c>
      <c r="D139" s="106"/>
      <c r="E139" s="106">
        <v>578335</v>
      </c>
      <c r="F139" s="117">
        <f t="shared" si="6"/>
        <v>578335</v>
      </c>
      <c r="G139" s="106"/>
      <c r="H139" s="248">
        <v>578335</v>
      </c>
      <c r="I139" s="117">
        <f t="shared" si="7"/>
        <v>578335</v>
      </c>
    </row>
    <row r="140" spans="1:9">
      <c r="A140" s="119">
        <v>53</v>
      </c>
      <c r="B140" s="119">
        <v>11</v>
      </c>
      <c r="C140" s="121" t="s">
        <v>122</v>
      </c>
      <c r="D140" s="106">
        <v>1455000</v>
      </c>
      <c r="E140" s="106">
        <f>0</f>
        <v>0</v>
      </c>
      <c r="F140" s="117">
        <f t="shared" si="6"/>
        <v>1455000</v>
      </c>
      <c r="G140" s="106">
        <v>1453000</v>
      </c>
      <c r="H140" s="248">
        <f>0</f>
        <v>0</v>
      </c>
      <c r="I140" s="117">
        <f t="shared" si="7"/>
        <v>1453000</v>
      </c>
    </row>
    <row r="141" spans="1:9">
      <c r="A141" s="119">
        <v>54</v>
      </c>
      <c r="B141" s="119">
        <v>12</v>
      </c>
      <c r="C141" s="121" t="s">
        <v>123</v>
      </c>
      <c r="D141" s="106">
        <v>1662000</v>
      </c>
      <c r="E141" s="106"/>
      <c r="F141" s="117">
        <f t="shared" si="6"/>
        <v>1662000</v>
      </c>
      <c r="G141" s="106">
        <v>1665000</v>
      </c>
      <c r="H141" s="248"/>
      <c r="I141" s="117">
        <f t="shared" si="7"/>
        <v>1665000</v>
      </c>
    </row>
    <row r="142" spans="1:9">
      <c r="A142" s="119">
        <v>55</v>
      </c>
      <c r="B142" s="119">
        <v>13</v>
      </c>
      <c r="C142" s="121" t="s">
        <v>124</v>
      </c>
      <c r="D142" s="106"/>
      <c r="E142" s="106"/>
      <c r="F142" s="117">
        <f t="shared" si="6"/>
        <v>0</v>
      </c>
      <c r="G142" s="106">
        <v>677000</v>
      </c>
      <c r="H142" s="248">
        <v>200000</v>
      </c>
      <c r="I142" s="117">
        <f t="shared" si="7"/>
        <v>877000</v>
      </c>
    </row>
    <row r="143" spans="1:9">
      <c r="A143" s="119">
        <v>56</v>
      </c>
      <c r="B143" s="119">
        <v>14</v>
      </c>
      <c r="C143" s="121" t="s">
        <v>125</v>
      </c>
      <c r="D143" s="106">
        <v>229000</v>
      </c>
      <c r="E143" s="106">
        <v>140000</v>
      </c>
      <c r="F143" s="117">
        <f>SUM(D143:E143)</f>
        <v>369000</v>
      </c>
      <c r="G143" s="106">
        <v>229000</v>
      </c>
      <c r="H143" s="248">
        <v>140000</v>
      </c>
      <c r="I143" s="117">
        <f>SUM(G143:H143)</f>
        <v>369000</v>
      </c>
    </row>
    <row r="144" spans="1:9">
      <c r="A144" s="119">
        <v>57</v>
      </c>
      <c r="B144" s="119">
        <v>15</v>
      </c>
      <c r="C144" s="121" t="s">
        <v>126</v>
      </c>
      <c r="D144" s="106">
        <f>0</f>
        <v>0</v>
      </c>
      <c r="E144" s="106">
        <f>0</f>
        <v>0</v>
      </c>
      <c r="F144" s="117">
        <f t="shared" ref="F144:F149" si="8">SUM(D144:E144)</f>
        <v>0</v>
      </c>
      <c r="G144" s="106">
        <v>1250000</v>
      </c>
      <c r="H144" s="248">
        <v>250000</v>
      </c>
      <c r="I144" s="117">
        <f t="shared" si="7"/>
        <v>1500000</v>
      </c>
    </row>
    <row r="145" spans="1:9">
      <c r="A145" s="119">
        <v>58</v>
      </c>
      <c r="B145" s="119">
        <v>16</v>
      </c>
      <c r="C145" s="121" t="s">
        <v>127</v>
      </c>
      <c r="D145" s="106">
        <v>1116000</v>
      </c>
      <c r="E145" s="106">
        <f>0</f>
        <v>0</v>
      </c>
      <c r="F145" s="117">
        <f t="shared" si="8"/>
        <v>1116000</v>
      </c>
      <c r="G145" s="106">
        <v>1116000</v>
      </c>
      <c r="H145" s="248">
        <f>0</f>
        <v>0</v>
      </c>
      <c r="I145" s="117">
        <f t="shared" si="7"/>
        <v>1116000</v>
      </c>
    </row>
    <row r="146" spans="1:9">
      <c r="A146" s="119">
        <v>59</v>
      </c>
      <c r="B146" s="119">
        <v>17</v>
      </c>
      <c r="C146" s="121" t="s">
        <v>128</v>
      </c>
      <c r="D146" s="106">
        <v>1350000</v>
      </c>
      <c r="E146" s="106">
        <f>0</f>
        <v>0</v>
      </c>
      <c r="F146" s="117">
        <f t="shared" si="8"/>
        <v>1350000</v>
      </c>
      <c r="G146" s="106"/>
      <c r="H146" s="248">
        <f>0</f>
        <v>0</v>
      </c>
      <c r="I146" s="117">
        <f t="shared" si="7"/>
        <v>0</v>
      </c>
    </row>
    <row r="147" spans="1:9">
      <c r="A147" s="119">
        <v>60</v>
      </c>
      <c r="B147" s="119">
        <v>18</v>
      </c>
      <c r="C147" s="121" t="s">
        <v>129</v>
      </c>
      <c r="D147" s="106">
        <v>1149033</v>
      </c>
      <c r="E147" s="106">
        <v>120000</v>
      </c>
      <c r="F147" s="117">
        <f t="shared" si="8"/>
        <v>1269033</v>
      </c>
      <c r="G147" s="106">
        <v>1149000</v>
      </c>
      <c r="H147" s="248">
        <v>120000</v>
      </c>
      <c r="I147" s="117">
        <f t="shared" si="7"/>
        <v>1269000</v>
      </c>
    </row>
    <row r="148" spans="1:9">
      <c r="A148" s="119">
        <v>61</v>
      </c>
      <c r="B148" s="119">
        <v>19</v>
      </c>
      <c r="C148" s="121" t="s">
        <v>130</v>
      </c>
      <c r="D148" s="106">
        <v>260618</v>
      </c>
      <c r="E148" s="106">
        <v>250000</v>
      </c>
      <c r="F148" s="117">
        <f t="shared" si="8"/>
        <v>510618</v>
      </c>
      <c r="G148" s="106">
        <v>260618</v>
      </c>
      <c r="H148" s="248">
        <v>250000</v>
      </c>
      <c r="I148" s="117">
        <f t="shared" si="7"/>
        <v>510618</v>
      </c>
    </row>
    <row r="149" spans="1:9">
      <c r="A149" s="119">
        <v>62</v>
      </c>
      <c r="B149" s="119">
        <v>20</v>
      </c>
      <c r="C149" s="121" t="s">
        <v>131</v>
      </c>
      <c r="D149" s="106">
        <f>0</f>
        <v>0</v>
      </c>
      <c r="E149" s="106">
        <f>0</f>
        <v>0</v>
      </c>
      <c r="F149" s="117">
        <f t="shared" si="8"/>
        <v>0</v>
      </c>
      <c r="G149" s="106">
        <f>739873+739873</f>
        <v>1479746</v>
      </c>
      <c r="H149" s="248">
        <f>190000+190000</f>
        <v>380000</v>
      </c>
      <c r="I149" s="117">
        <f t="shared" si="7"/>
        <v>1859746</v>
      </c>
    </row>
    <row r="150" spans="1:9">
      <c r="A150" s="108" t="s">
        <v>58</v>
      </c>
      <c r="B150" s="109"/>
      <c r="C150" s="109"/>
      <c r="D150" s="110">
        <f>SUM(D130:D149)</f>
        <v>14263668</v>
      </c>
      <c r="E150" s="110">
        <f>SUM(E130:E149)</f>
        <v>3368835</v>
      </c>
      <c r="F150" s="110">
        <f>SUM(D150:E150)</f>
        <v>17632503</v>
      </c>
      <c r="G150" s="110">
        <f>SUM(G130:G149)</f>
        <v>15637066</v>
      </c>
      <c r="H150" s="110">
        <f>SUM(H130:H149)</f>
        <v>4181835</v>
      </c>
      <c r="I150" s="110">
        <f>SUM(G150:H150)</f>
        <v>19818901</v>
      </c>
    </row>
    <row r="151" spans="1:9">
      <c r="A151" s="126" t="s">
        <v>132</v>
      </c>
      <c r="B151" s="127"/>
      <c r="C151" s="127"/>
      <c r="D151" s="127"/>
      <c r="E151" s="127"/>
      <c r="F151" s="127"/>
      <c r="G151" s="127"/>
      <c r="H151" s="127"/>
      <c r="I151" s="128"/>
    </row>
    <row r="152" spans="1:9">
      <c r="A152" s="119">
        <v>63</v>
      </c>
      <c r="B152" s="119">
        <v>1</v>
      </c>
      <c r="C152" s="125" t="s">
        <v>133</v>
      </c>
      <c r="D152" s="106">
        <v>1514395</v>
      </c>
      <c r="E152" s="106">
        <v>920800</v>
      </c>
      <c r="F152" s="117">
        <f>SUM(D152:E152)</f>
        <v>2435195</v>
      </c>
      <c r="G152" s="106">
        <v>1501595</v>
      </c>
      <c r="H152" s="248">
        <v>910800</v>
      </c>
      <c r="I152" s="117">
        <f>SUM(G152:H152)</f>
        <v>2412395</v>
      </c>
    </row>
    <row r="153" spans="1:9">
      <c r="A153" s="119">
        <v>64</v>
      </c>
      <c r="B153" s="119">
        <v>2</v>
      </c>
      <c r="C153" s="125" t="s">
        <v>134</v>
      </c>
      <c r="D153" s="106">
        <v>261500</v>
      </c>
      <c r="E153" s="106">
        <v>286000</v>
      </c>
      <c r="F153" s="117">
        <f t="shared" ref="F153:F171" si="9">SUM(D153:E153)</f>
        <v>547500</v>
      </c>
      <c r="G153" s="106">
        <v>262000</v>
      </c>
      <c r="H153" s="248">
        <v>286000</v>
      </c>
      <c r="I153" s="117">
        <f>SUM(G153:H153)</f>
        <v>548000</v>
      </c>
    </row>
    <row r="154" spans="1:9">
      <c r="A154" s="119">
        <v>65</v>
      </c>
      <c r="B154" s="119">
        <v>3</v>
      </c>
      <c r="C154" s="125" t="s">
        <v>135</v>
      </c>
      <c r="D154" s="106">
        <f>1425700+1425700</f>
        <v>2851400</v>
      </c>
      <c r="E154" s="106">
        <f>1247500+1247500</f>
        <v>2495000</v>
      </c>
      <c r="F154" s="117">
        <f t="shared" si="9"/>
        <v>5346400</v>
      </c>
      <c r="G154" s="106">
        <v>1425700</v>
      </c>
      <c r="H154" s="248">
        <v>1247500</v>
      </c>
      <c r="I154" s="117">
        <f t="shared" ref="I154:I171" si="10">SUM(G154:H154)</f>
        <v>2673200</v>
      </c>
    </row>
    <row r="155" spans="1:9">
      <c r="A155" s="119">
        <v>66</v>
      </c>
      <c r="B155" s="119">
        <v>4</v>
      </c>
      <c r="C155" s="125" t="s">
        <v>136</v>
      </c>
      <c r="D155" s="106"/>
      <c r="E155" s="106">
        <v>300000</v>
      </c>
      <c r="F155" s="117">
        <f t="shared" si="9"/>
        <v>300000</v>
      </c>
      <c r="G155" s="106"/>
      <c r="H155" s="248">
        <v>300000</v>
      </c>
      <c r="I155" s="117">
        <f t="shared" si="10"/>
        <v>300000</v>
      </c>
    </row>
    <row r="156" spans="1:9">
      <c r="A156" s="119">
        <v>67</v>
      </c>
      <c r="B156" s="119">
        <v>5</v>
      </c>
      <c r="C156" s="129" t="s">
        <v>137</v>
      </c>
      <c r="D156" s="106">
        <f>0</f>
        <v>0</v>
      </c>
      <c r="E156" s="106">
        <f>0</f>
        <v>0</v>
      </c>
      <c r="F156" s="117">
        <f t="shared" si="9"/>
        <v>0</v>
      </c>
      <c r="G156" s="106">
        <f>0</f>
        <v>0</v>
      </c>
      <c r="H156" s="248">
        <f>0</f>
        <v>0</v>
      </c>
      <c r="I156" s="117">
        <f t="shared" si="10"/>
        <v>0</v>
      </c>
    </row>
    <row r="157" spans="1:9">
      <c r="A157" s="119">
        <v>68</v>
      </c>
      <c r="B157" s="119">
        <v>6</v>
      </c>
      <c r="C157" s="125" t="s">
        <v>138</v>
      </c>
      <c r="D157" s="106">
        <v>794000</v>
      </c>
      <c r="E157" s="106">
        <v>1378500</v>
      </c>
      <c r="F157" s="117">
        <f t="shared" si="9"/>
        <v>2172500</v>
      </c>
      <c r="G157" s="106">
        <v>794000</v>
      </c>
      <c r="H157" s="248">
        <v>1378500</v>
      </c>
      <c r="I157" s="117">
        <f t="shared" si="10"/>
        <v>2172500</v>
      </c>
    </row>
    <row r="158" spans="1:9">
      <c r="A158" s="119">
        <v>69</v>
      </c>
      <c r="B158" s="119">
        <v>7</v>
      </c>
      <c r="C158" s="125" t="s">
        <v>139</v>
      </c>
      <c r="D158" s="106">
        <v>406000</v>
      </c>
      <c r="E158" s="106">
        <v>500000</v>
      </c>
      <c r="F158" s="117">
        <f t="shared" si="9"/>
        <v>906000</v>
      </c>
      <c r="G158" s="106">
        <v>342000</v>
      </c>
      <c r="H158" s="248">
        <v>450000</v>
      </c>
      <c r="I158" s="117">
        <f t="shared" si="10"/>
        <v>792000</v>
      </c>
    </row>
    <row r="159" spans="1:9">
      <c r="A159" s="119">
        <v>70</v>
      </c>
      <c r="B159" s="119">
        <v>8</v>
      </c>
      <c r="C159" s="125" t="s">
        <v>140</v>
      </c>
      <c r="D159" s="106">
        <v>561700</v>
      </c>
      <c r="E159" s="106">
        <v>939000</v>
      </c>
      <c r="F159" s="117">
        <f t="shared" si="9"/>
        <v>1500700</v>
      </c>
      <c r="G159" s="106">
        <v>561700</v>
      </c>
      <c r="H159" s="248">
        <v>939000</v>
      </c>
      <c r="I159" s="117">
        <f t="shared" si="10"/>
        <v>1500700</v>
      </c>
    </row>
    <row r="160" spans="1:9">
      <c r="A160" s="119">
        <v>71</v>
      </c>
      <c r="B160" s="119">
        <v>9</v>
      </c>
      <c r="C160" s="125" t="s">
        <v>141</v>
      </c>
      <c r="D160" s="106">
        <v>337000</v>
      </c>
      <c r="E160" s="106">
        <v>505000</v>
      </c>
      <c r="F160" s="117">
        <f t="shared" si="9"/>
        <v>842000</v>
      </c>
      <c r="G160" s="106">
        <v>334000</v>
      </c>
      <c r="H160" s="248">
        <v>500000</v>
      </c>
      <c r="I160" s="117">
        <f t="shared" si="10"/>
        <v>834000</v>
      </c>
    </row>
    <row r="161" spans="1:9">
      <c r="A161" s="119">
        <v>72</v>
      </c>
      <c r="B161" s="119">
        <v>10</v>
      </c>
      <c r="C161" s="125" t="s">
        <v>142</v>
      </c>
      <c r="D161" s="106">
        <v>357100</v>
      </c>
      <c r="E161" s="106">
        <v>74000</v>
      </c>
      <c r="F161" s="117">
        <f t="shared" si="9"/>
        <v>431100</v>
      </c>
      <c r="G161" s="106">
        <v>357100</v>
      </c>
      <c r="H161" s="248">
        <v>74000</v>
      </c>
      <c r="I161" s="117">
        <f t="shared" si="10"/>
        <v>431100</v>
      </c>
    </row>
    <row r="162" spans="1:9">
      <c r="A162" s="119">
        <v>73</v>
      </c>
      <c r="B162" s="119">
        <v>11</v>
      </c>
      <c r="C162" s="125" t="s">
        <v>143</v>
      </c>
      <c r="D162" s="106">
        <v>200000</v>
      </c>
      <c r="E162" s="106">
        <v>600000</v>
      </c>
      <c r="F162" s="117">
        <f t="shared" si="9"/>
        <v>800000</v>
      </c>
      <c r="G162" s="106">
        <v>200000</v>
      </c>
      <c r="H162" s="248">
        <v>600000</v>
      </c>
      <c r="I162" s="117">
        <f t="shared" si="10"/>
        <v>800000</v>
      </c>
    </row>
    <row r="163" spans="1:9">
      <c r="A163" s="119">
        <v>74</v>
      </c>
      <c r="B163" s="119">
        <v>12</v>
      </c>
      <c r="C163" s="125" t="s">
        <v>144</v>
      </c>
      <c r="D163" s="106">
        <v>185000</v>
      </c>
      <c r="E163" s="106">
        <v>814000</v>
      </c>
      <c r="F163" s="117">
        <f t="shared" si="9"/>
        <v>999000</v>
      </c>
      <c r="G163" s="106">
        <v>185000</v>
      </c>
      <c r="H163" s="248">
        <v>819000</v>
      </c>
      <c r="I163" s="117">
        <f t="shared" si="10"/>
        <v>1004000</v>
      </c>
    </row>
    <row r="164" spans="1:9">
      <c r="A164" s="119">
        <v>75</v>
      </c>
      <c r="B164" s="119">
        <v>13</v>
      </c>
      <c r="C164" s="125" t="s">
        <v>145</v>
      </c>
      <c r="D164" s="219">
        <f>0</f>
        <v>0</v>
      </c>
      <c r="E164" s="219">
        <v>500000</v>
      </c>
      <c r="F164" s="117">
        <f t="shared" si="9"/>
        <v>500000</v>
      </c>
      <c r="G164" s="219">
        <f>0</f>
        <v>0</v>
      </c>
      <c r="H164" s="250">
        <v>500000</v>
      </c>
      <c r="I164" s="117">
        <f t="shared" si="10"/>
        <v>500000</v>
      </c>
    </row>
    <row r="165" spans="1:9">
      <c r="A165" s="119">
        <v>76</v>
      </c>
      <c r="B165" s="119">
        <v>14</v>
      </c>
      <c r="C165" s="129" t="s">
        <v>146</v>
      </c>
      <c r="D165" s="106"/>
      <c r="E165" s="106">
        <f>1080000+1080000</f>
        <v>2160000</v>
      </c>
      <c r="F165" s="117">
        <f t="shared" si="9"/>
        <v>2160000</v>
      </c>
      <c r="G165" s="106"/>
      <c r="H165" s="248"/>
      <c r="I165" s="117">
        <f t="shared" si="10"/>
        <v>0</v>
      </c>
    </row>
    <row r="166" spans="1:9">
      <c r="A166" s="119">
        <v>77</v>
      </c>
      <c r="B166" s="119">
        <v>15</v>
      </c>
      <c r="C166" s="125" t="s">
        <v>147</v>
      </c>
      <c r="D166" s="106"/>
      <c r="E166" s="106">
        <v>1046000</v>
      </c>
      <c r="F166" s="117">
        <f t="shared" si="9"/>
        <v>1046000</v>
      </c>
      <c r="G166" s="106"/>
      <c r="H166" s="248">
        <v>1041000</v>
      </c>
      <c r="I166" s="117">
        <f t="shared" si="10"/>
        <v>1041000</v>
      </c>
    </row>
    <row r="167" spans="1:9">
      <c r="A167" s="119">
        <v>78</v>
      </c>
      <c r="B167" s="119">
        <v>16</v>
      </c>
      <c r="C167" s="125" t="s">
        <v>148</v>
      </c>
      <c r="D167" s="106"/>
      <c r="E167" s="106"/>
      <c r="F167" s="117">
        <f t="shared" si="9"/>
        <v>0</v>
      </c>
      <c r="G167" s="106"/>
      <c r="H167" s="248">
        <v>2289000</v>
      </c>
      <c r="I167" s="117">
        <f t="shared" si="10"/>
        <v>2289000</v>
      </c>
    </row>
    <row r="168" spans="1:9">
      <c r="A168" s="119">
        <v>79</v>
      </c>
      <c r="B168" s="119">
        <v>17</v>
      </c>
      <c r="C168" s="125" t="s">
        <v>149</v>
      </c>
      <c r="D168" s="106"/>
      <c r="E168" s="106">
        <v>763000</v>
      </c>
      <c r="F168" s="117">
        <f t="shared" si="9"/>
        <v>763000</v>
      </c>
      <c r="G168" s="106"/>
      <c r="H168" s="248">
        <v>763000</v>
      </c>
      <c r="I168" s="117">
        <f t="shared" si="10"/>
        <v>763000</v>
      </c>
    </row>
    <row r="169" spans="1:9">
      <c r="A169" s="119">
        <v>80</v>
      </c>
      <c r="B169" s="119">
        <v>18</v>
      </c>
      <c r="C169" s="121" t="s">
        <v>150</v>
      </c>
      <c r="D169" s="106">
        <v>229042</v>
      </c>
      <c r="E169" s="106">
        <v>2751980</v>
      </c>
      <c r="F169" s="117">
        <f t="shared" si="9"/>
        <v>2981022</v>
      </c>
      <c r="G169" s="106"/>
      <c r="H169" s="248"/>
      <c r="I169" s="117">
        <f t="shared" si="10"/>
        <v>0</v>
      </c>
    </row>
    <row r="170" spans="1:9">
      <c r="A170" s="119">
        <v>81</v>
      </c>
      <c r="B170" s="119">
        <v>19</v>
      </c>
      <c r="C170" s="121" t="s">
        <v>151</v>
      </c>
      <c r="D170" s="106">
        <v>835500</v>
      </c>
      <c r="E170" s="106">
        <v>150000</v>
      </c>
      <c r="F170" s="117">
        <f t="shared" si="9"/>
        <v>985500</v>
      </c>
      <c r="G170" s="106">
        <v>849000</v>
      </c>
      <c r="H170" s="248">
        <v>125000</v>
      </c>
      <c r="I170" s="117">
        <f t="shared" si="10"/>
        <v>974000</v>
      </c>
    </row>
    <row r="171" spans="1:9">
      <c r="A171" s="119">
        <v>82</v>
      </c>
      <c r="B171" s="119">
        <v>20</v>
      </c>
      <c r="C171" s="121" t="s">
        <v>152</v>
      </c>
      <c r="D171" s="106">
        <v>309000</v>
      </c>
      <c r="E171" s="106">
        <v>703000</v>
      </c>
      <c r="F171" s="117">
        <f t="shared" si="9"/>
        <v>1012000</v>
      </c>
      <c r="G171" s="106">
        <v>309000</v>
      </c>
      <c r="H171" s="248">
        <v>703000</v>
      </c>
      <c r="I171" s="117">
        <f t="shared" si="10"/>
        <v>1012000</v>
      </c>
    </row>
    <row r="172" spans="1:9">
      <c r="A172" s="108" t="s">
        <v>58</v>
      </c>
      <c r="B172" s="109"/>
      <c r="C172" s="109"/>
      <c r="D172" s="110">
        <f>SUM(D152:D171)</f>
        <v>8841637</v>
      </c>
      <c r="E172" s="110">
        <f>SUM(E152:E171)</f>
        <v>16886280</v>
      </c>
      <c r="F172" s="110">
        <f>SUM(D172:E172)</f>
        <v>25727917</v>
      </c>
      <c r="G172" s="110">
        <f>SUM(G152:G171)</f>
        <v>7121095</v>
      </c>
      <c r="H172" s="110">
        <f>SUM(H152:H171)</f>
        <v>12925800</v>
      </c>
      <c r="I172" s="110">
        <f>SUM(G172:H172)</f>
        <v>20046895</v>
      </c>
    </row>
    <row r="173" spans="1:9">
      <c r="A173" s="108" t="s">
        <v>153</v>
      </c>
      <c r="B173" s="109"/>
      <c r="C173" s="109"/>
      <c r="D173" s="109"/>
      <c r="E173" s="109"/>
      <c r="F173" s="109"/>
      <c r="G173" s="109"/>
      <c r="H173" s="109"/>
      <c r="I173" s="113"/>
    </row>
    <row r="174" spans="1:9">
      <c r="A174" s="119">
        <v>83</v>
      </c>
      <c r="B174" s="119">
        <v>1</v>
      </c>
      <c r="C174" s="121" t="s">
        <v>154</v>
      </c>
      <c r="D174" s="106">
        <v>1392225</v>
      </c>
      <c r="E174" s="106">
        <v>105500</v>
      </c>
      <c r="F174" s="117">
        <f>SUM(D174:E174)</f>
        <v>1497725</v>
      </c>
      <c r="G174" s="106">
        <v>1392225</v>
      </c>
      <c r="H174" s="248">
        <v>105500</v>
      </c>
      <c r="I174" s="117">
        <f>SUM(G174:H174)</f>
        <v>1497725</v>
      </c>
    </row>
    <row r="175" spans="1:9">
      <c r="A175" s="119">
        <v>84</v>
      </c>
      <c r="B175" s="119">
        <v>2</v>
      </c>
      <c r="C175" s="121" t="s">
        <v>155</v>
      </c>
      <c r="D175" s="106"/>
      <c r="E175" s="106">
        <v>30000</v>
      </c>
      <c r="F175" s="117">
        <f t="shared" ref="F175:F193" si="11">SUM(D175:E175)</f>
        <v>30000</v>
      </c>
      <c r="G175" s="106"/>
      <c r="H175" s="248"/>
      <c r="I175" s="117">
        <f t="shared" ref="I175:I196" si="12">SUM(G175:H175)</f>
        <v>0</v>
      </c>
    </row>
    <row r="176" spans="1:9">
      <c r="A176" s="119">
        <v>85</v>
      </c>
      <c r="B176" s="119">
        <v>3</v>
      </c>
      <c r="C176" s="121" t="s">
        <v>156</v>
      </c>
      <c r="D176" s="106"/>
      <c r="E176" s="106">
        <f>40000+260000</f>
        <v>300000</v>
      </c>
      <c r="F176" s="117">
        <f t="shared" si="11"/>
        <v>300000</v>
      </c>
      <c r="G176" s="106"/>
      <c r="H176" s="248">
        <f>40000+265000</f>
        <v>305000</v>
      </c>
      <c r="I176" s="117">
        <f t="shared" si="12"/>
        <v>305000</v>
      </c>
    </row>
    <row r="177" spans="1:9">
      <c r="A177" s="119">
        <v>86</v>
      </c>
      <c r="B177" s="119">
        <v>4</v>
      </c>
      <c r="C177" s="121" t="s">
        <v>157</v>
      </c>
      <c r="D177" s="106"/>
      <c r="E177" s="106"/>
      <c r="F177" s="117">
        <f t="shared" si="11"/>
        <v>0</v>
      </c>
      <c r="G177" s="106">
        <f>695000+390000</f>
        <v>1085000</v>
      </c>
      <c r="H177" s="248">
        <f>92000+80000</f>
        <v>172000</v>
      </c>
      <c r="I177" s="117">
        <f t="shared" si="12"/>
        <v>1257000</v>
      </c>
    </row>
    <row r="178" spans="1:9">
      <c r="A178" s="119">
        <v>87</v>
      </c>
      <c r="B178" s="119">
        <v>5</v>
      </c>
      <c r="C178" s="121" t="s">
        <v>158</v>
      </c>
      <c r="D178" s="106"/>
      <c r="E178" s="106"/>
      <c r="F178" s="117">
        <f t="shared" si="11"/>
        <v>0</v>
      </c>
      <c r="G178" s="106"/>
      <c r="H178" s="248"/>
      <c r="I178" s="117">
        <f t="shared" si="12"/>
        <v>0</v>
      </c>
    </row>
    <row r="179" spans="1:9">
      <c r="A179" s="119">
        <v>88</v>
      </c>
      <c r="B179" s="119">
        <v>6</v>
      </c>
      <c r="C179" s="125" t="s">
        <v>159</v>
      </c>
      <c r="D179" s="106">
        <f>20000000+20000000</f>
        <v>40000000</v>
      </c>
      <c r="E179" s="106"/>
      <c r="F179" s="117">
        <f t="shared" si="11"/>
        <v>40000000</v>
      </c>
      <c r="G179" s="106">
        <v>20000000</v>
      </c>
      <c r="H179" s="248"/>
      <c r="I179" s="117">
        <f t="shared" si="12"/>
        <v>20000000</v>
      </c>
    </row>
    <row r="180" spans="1:9">
      <c r="A180" s="119">
        <v>89</v>
      </c>
      <c r="B180" s="119">
        <v>7</v>
      </c>
      <c r="C180" s="121" t="s">
        <v>160</v>
      </c>
      <c r="D180" s="106"/>
      <c r="E180" s="106"/>
      <c r="F180" s="117">
        <f t="shared" si="11"/>
        <v>0</v>
      </c>
      <c r="G180" s="106"/>
      <c r="H180" s="248"/>
      <c r="I180" s="117">
        <f t="shared" si="12"/>
        <v>0</v>
      </c>
    </row>
    <row r="181" spans="1:9">
      <c r="A181" s="119">
        <v>90</v>
      </c>
      <c r="B181" s="119">
        <v>8</v>
      </c>
      <c r="C181" s="121" t="s">
        <v>161</v>
      </c>
      <c r="D181" s="106"/>
      <c r="E181" s="106"/>
      <c r="F181" s="117">
        <f t="shared" si="11"/>
        <v>0</v>
      </c>
      <c r="G181" s="106"/>
      <c r="H181" s="248"/>
      <c r="I181" s="117">
        <f t="shared" si="12"/>
        <v>0</v>
      </c>
    </row>
    <row r="182" spans="1:9">
      <c r="A182" s="119">
        <v>91</v>
      </c>
      <c r="B182" s="119">
        <v>9</v>
      </c>
      <c r="C182" s="121" t="s">
        <v>162</v>
      </c>
      <c r="D182" s="106"/>
      <c r="E182" s="106"/>
      <c r="F182" s="117">
        <f t="shared" si="11"/>
        <v>0</v>
      </c>
      <c r="G182" s="106"/>
      <c r="H182" s="248"/>
      <c r="I182" s="117">
        <f t="shared" si="12"/>
        <v>0</v>
      </c>
    </row>
    <row r="183" spans="1:9">
      <c r="A183" s="119">
        <v>92</v>
      </c>
      <c r="B183" s="119">
        <v>10</v>
      </c>
      <c r="C183" s="121" t="s">
        <v>163</v>
      </c>
      <c r="D183" s="106">
        <v>35000</v>
      </c>
      <c r="E183" s="106">
        <v>11000</v>
      </c>
      <c r="F183" s="117">
        <f t="shared" si="11"/>
        <v>46000</v>
      </c>
      <c r="G183" s="106"/>
      <c r="H183" s="248"/>
      <c r="I183" s="117">
        <f t="shared" si="12"/>
        <v>0</v>
      </c>
    </row>
    <row r="184" spans="1:9">
      <c r="A184" s="119">
        <v>93</v>
      </c>
      <c r="B184" s="119">
        <v>11</v>
      </c>
      <c r="C184" s="121" t="s">
        <v>164</v>
      </c>
      <c r="D184" s="106">
        <f>8943975+9209838</f>
        <v>18153813</v>
      </c>
      <c r="E184" s="106"/>
      <c r="F184" s="117">
        <f t="shared" si="11"/>
        <v>18153813</v>
      </c>
      <c r="G184" s="106">
        <v>9260654</v>
      </c>
      <c r="H184" s="248"/>
      <c r="I184" s="117">
        <f t="shared" si="12"/>
        <v>9260654</v>
      </c>
    </row>
    <row r="185" spans="1:9">
      <c r="A185" s="119">
        <v>94</v>
      </c>
      <c r="B185" s="119">
        <v>12</v>
      </c>
      <c r="C185" s="121" t="s">
        <v>165</v>
      </c>
      <c r="D185" s="106"/>
      <c r="E185" s="106"/>
      <c r="F185" s="117">
        <f t="shared" si="11"/>
        <v>0</v>
      </c>
      <c r="G185" s="106"/>
      <c r="H185" s="248"/>
      <c r="I185" s="117">
        <f t="shared" si="12"/>
        <v>0</v>
      </c>
    </row>
    <row r="186" spans="1:9">
      <c r="A186" s="119">
        <v>95</v>
      </c>
      <c r="B186" s="119">
        <v>13</v>
      </c>
      <c r="C186" s="121" t="s">
        <v>166</v>
      </c>
      <c r="D186" s="106"/>
      <c r="E186" s="106">
        <f>86000+86000</f>
        <v>172000</v>
      </c>
      <c r="F186" s="117">
        <f t="shared" si="11"/>
        <v>172000</v>
      </c>
      <c r="G186" s="106"/>
      <c r="H186" s="248"/>
      <c r="I186" s="117">
        <f t="shared" si="12"/>
        <v>0</v>
      </c>
    </row>
    <row r="187" spans="1:9">
      <c r="A187" s="119">
        <v>96</v>
      </c>
      <c r="B187" s="119">
        <v>14</v>
      </c>
      <c r="C187" s="121" t="s">
        <v>167</v>
      </c>
      <c r="D187" s="106"/>
      <c r="E187" s="106">
        <v>70500</v>
      </c>
      <c r="F187" s="117">
        <f t="shared" si="11"/>
        <v>70500</v>
      </c>
      <c r="G187" s="106"/>
      <c r="H187" s="248"/>
      <c r="I187" s="117">
        <f t="shared" si="12"/>
        <v>0</v>
      </c>
    </row>
    <row r="188" spans="1:9">
      <c r="A188" s="119">
        <v>97</v>
      </c>
      <c r="B188" s="119">
        <v>15</v>
      </c>
      <c r="C188" s="121" t="s">
        <v>168</v>
      </c>
      <c r="D188" s="106">
        <v>463000</v>
      </c>
      <c r="E188" s="106">
        <v>398000</v>
      </c>
      <c r="F188" s="117">
        <f t="shared" si="11"/>
        <v>861000</v>
      </c>
      <c r="G188" s="106">
        <v>467000</v>
      </c>
      <c r="H188" s="248">
        <v>398000</v>
      </c>
      <c r="I188" s="117">
        <f t="shared" si="12"/>
        <v>865000</v>
      </c>
    </row>
    <row r="189" spans="1:9">
      <c r="A189" s="119">
        <v>98</v>
      </c>
      <c r="B189" s="119">
        <v>16</v>
      </c>
      <c r="C189" s="121" t="s">
        <v>428</v>
      </c>
      <c r="D189" s="106">
        <v>997100</v>
      </c>
      <c r="E189" s="106">
        <f>340000+404000</f>
        <v>744000</v>
      </c>
      <c r="F189" s="117">
        <f t="shared" si="11"/>
        <v>1741100</v>
      </c>
      <c r="G189" s="106">
        <f>997100</f>
        <v>997100</v>
      </c>
      <c r="H189" s="248">
        <f>340000+403000</f>
        <v>743000</v>
      </c>
      <c r="I189" s="117">
        <f t="shared" si="12"/>
        <v>1740100</v>
      </c>
    </row>
    <row r="190" spans="1:9">
      <c r="A190" s="119">
        <v>99</v>
      </c>
      <c r="B190" s="119">
        <v>17</v>
      </c>
      <c r="C190" s="121" t="s">
        <v>170</v>
      </c>
      <c r="D190" s="106"/>
      <c r="E190" s="106"/>
      <c r="F190" s="117">
        <f t="shared" si="11"/>
        <v>0</v>
      </c>
      <c r="G190" s="106"/>
      <c r="H190" s="248"/>
      <c r="I190" s="117">
        <f t="shared" si="12"/>
        <v>0</v>
      </c>
    </row>
    <row r="191" spans="1:9">
      <c r="A191" s="119">
        <v>100</v>
      </c>
      <c r="B191" s="119">
        <v>18</v>
      </c>
      <c r="C191" s="121" t="s">
        <v>171</v>
      </c>
      <c r="D191" s="106"/>
      <c r="E191" s="106"/>
      <c r="F191" s="117">
        <f t="shared" si="11"/>
        <v>0</v>
      </c>
      <c r="G191" s="106"/>
      <c r="H191" s="248"/>
      <c r="I191" s="117">
        <f t="shared" si="12"/>
        <v>0</v>
      </c>
    </row>
    <row r="192" spans="1:9">
      <c r="A192" s="119">
        <v>101</v>
      </c>
      <c r="B192" s="119">
        <v>19</v>
      </c>
      <c r="C192" s="121" t="s">
        <v>172</v>
      </c>
      <c r="D192" s="106"/>
      <c r="E192" s="106"/>
      <c r="F192" s="117">
        <f t="shared" si="11"/>
        <v>0</v>
      </c>
      <c r="G192" s="106"/>
      <c r="H192" s="248"/>
      <c r="I192" s="117">
        <f t="shared" si="12"/>
        <v>0</v>
      </c>
    </row>
    <row r="193" spans="1:9">
      <c r="A193" s="119">
        <v>102</v>
      </c>
      <c r="B193" s="119">
        <v>20</v>
      </c>
      <c r="C193" s="121" t="s">
        <v>173</v>
      </c>
      <c r="D193" s="106"/>
      <c r="E193" s="106"/>
      <c r="F193" s="117">
        <f t="shared" si="11"/>
        <v>0</v>
      </c>
      <c r="G193" s="106"/>
      <c r="H193" s="248"/>
      <c r="I193" s="117">
        <f t="shared" si="12"/>
        <v>0</v>
      </c>
    </row>
    <row r="194" spans="1:9">
      <c r="A194" s="119">
        <v>103</v>
      </c>
      <c r="B194" s="119">
        <v>21</v>
      </c>
      <c r="C194" s="121" t="s">
        <v>174</v>
      </c>
      <c r="D194" s="106"/>
      <c r="E194" s="106"/>
      <c r="F194" s="117">
        <f>SUM(D194:E194)</f>
        <v>0</v>
      </c>
      <c r="G194" s="106"/>
      <c r="H194" s="248"/>
      <c r="I194" s="117">
        <f>SUM(G194:H194)</f>
        <v>0</v>
      </c>
    </row>
    <row r="195" spans="1:9">
      <c r="A195" s="119">
        <v>104</v>
      </c>
      <c r="B195" s="119">
        <v>22</v>
      </c>
      <c r="C195" s="121" t="s">
        <v>175</v>
      </c>
      <c r="D195" s="106"/>
      <c r="E195" s="106"/>
      <c r="F195" s="117">
        <f>SUM(D195:E195)</f>
        <v>0</v>
      </c>
      <c r="G195" s="106"/>
      <c r="H195" s="248"/>
      <c r="I195" s="117">
        <f t="shared" si="12"/>
        <v>0</v>
      </c>
    </row>
    <row r="196" spans="1:9">
      <c r="A196" s="119">
        <v>105</v>
      </c>
      <c r="B196" s="119">
        <v>23</v>
      </c>
      <c r="C196" s="121" t="s">
        <v>176</v>
      </c>
      <c r="D196" s="106"/>
      <c r="E196" s="106"/>
      <c r="F196" s="117">
        <f>SUM(D196:E196)</f>
        <v>0</v>
      </c>
      <c r="G196" s="106">
        <v>15000</v>
      </c>
      <c r="H196" s="248">
        <v>14000</v>
      </c>
      <c r="I196" s="117">
        <f t="shared" si="12"/>
        <v>29000</v>
      </c>
    </row>
    <row r="197" spans="1:9">
      <c r="A197" s="108" t="s">
        <v>58</v>
      </c>
      <c r="B197" s="109"/>
      <c r="C197" s="109"/>
      <c r="D197" s="110">
        <f>SUM(D174:D196)</f>
        <v>61041138</v>
      </c>
      <c r="E197" s="110">
        <f>SUM(E174:E196)</f>
        <v>1831000</v>
      </c>
      <c r="F197" s="110">
        <f>SUM(D197:E197)</f>
        <v>62872138</v>
      </c>
      <c r="G197" s="110">
        <f>SUM(G174:G196)</f>
        <v>33216979</v>
      </c>
      <c r="H197" s="110">
        <f>SUM(H174:H196)</f>
        <v>1737500</v>
      </c>
      <c r="I197" s="110">
        <f>SUM(G197:H197)</f>
        <v>34954479</v>
      </c>
    </row>
    <row r="198" spans="1:9">
      <c r="A198" s="108" t="s">
        <v>177</v>
      </c>
      <c r="B198" s="109"/>
      <c r="C198" s="109"/>
      <c r="D198" s="109"/>
      <c r="E198" s="109"/>
      <c r="F198" s="109"/>
      <c r="G198" s="109"/>
      <c r="H198" s="109"/>
      <c r="I198" s="113"/>
    </row>
    <row r="199" spans="1:9">
      <c r="A199" s="119">
        <v>106</v>
      </c>
      <c r="B199" s="119">
        <v>1</v>
      </c>
      <c r="C199" s="105" t="s">
        <v>178</v>
      </c>
      <c r="D199" s="106">
        <f>0</f>
        <v>0</v>
      </c>
      <c r="E199" s="106">
        <f>0</f>
        <v>0</v>
      </c>
      <c r="F199" s="117">
        <f>SUM(D199:E199)</f>
        <v>0</v>
      </c>
      <c r="G199" s="106">
        <f>0</f>
        <v>0</v>
      </c>
      <c r="H199" s="248">
        <f>0</f>
        <v>0</v>
      </c>
      <c r="I199" s="117">
        <f>SUM(G199:H199)</f>
        <v>0</v>
      </c>
    </row>
    <row r="200" spans="1:9">
      <c r="A200" s="119">
        <v>107</v>
      </c>
      <c r="B200" s="119">
        <v>2</v>
      </c>
      <c r="C200" s="120" t="s">
        <v>179</v>
      </c>
      <c r="D200" s="106">
        <v>348790</v>
      </c>
      <c r="E200" s="106">
        <v>72200</v>
      </c>
      <c r="F200" s="117">
        <f t="shared" ref="F200:F245" si="13">SUM(D200:E200)</f>
        <v>420990</v>
      </c>
      <c r="G200" s="106">
        <v>348790</v>
      </c>
      <c r="H200" s="248">
        <v>72200</v>
      </c>
      <c r="I200" s="117">
        <f t="shared" ref="I200:I251" si="14">SUM(G200:H200)</f>
        <v>420990</v>
      </c>
    </row>
    <row r="201" spans="1:9">
      <c r="A201" s="119">
        <v>108</v>
      </c>
      <c r="B201" s="119">
        <v>3</v>
      </c>
      <c r="C201" s="120" t="s">
        <v>180</v>
      </c>
      <c r="D201" s="106"/>
      <c r="E201" s="106">
        <v>90000</v>
      </c>
      <c r="F201" s="117">
        <f t="shared" si="13"/>
        <v>90000</v>
      </c>
      <c r="G201" s="106"/>
      <c r="H201" s="248">
        <v>90000</v>
      </c>
      <c r="I201" s="117">
        <f t="shared" si="14"/>
        <v>90000</v>
      </c>
    </row>
    <row r="202" spans="1:9">
      <c r="A202" s="119">
        <v>109</v>
      </c>
      <c r="B202" s="119">
        <v>4</v>
      </c>
      <c r="C202" s="105" t="s">
        <v>181</v>
      </c>
      <c r="D202" s="106">
        <v>821400</v>
      </c>
      <c r="E202" s="106">
        <f>81000</f>
        <v>81000</v>
      </c>
      <c r="F202" s="117">
        <f t="shared" si="13"/>
        <v>902400</v>
      </c>
      <c r="G202" s="106"/>
      <c r="H202" s="248"/>
      <c r="I202" s="117">
        <f t="shared" si="14"/>
        <v>0</v>
      </c>
    </row>
    <row r="203" spans="1:9">
      <c r="A203" s="119">
        <v>110</v>
      </c>
      <c r="B203" s="119">
        <v>5</v>
      </c>
      <c r="C203" s="130" t="s">
        <v>182</v>
      </c>
      <c r="D203" s="106"/>
      <c r="E203" s="106"/>
      <c r="F203" s="117">
        <f t="shared" si="13"/>
        <v>0</v>
      </c>
      <c r="G203" s="106"/>
      <c r="H203" s="248"/>
      <c r="I203" s="117">
        <f t="shared" si="14"/>
        <v>0</v>
      </c>
    </row>
    <row r="204" spans="1:9">
      <c r="A204" s="119">
        <v>111</v>
      </c>
      <c r="B204" s="119">
        <v>6</v>
      </c>
      <c r="C204" s="130" t="s">
        <v>183</v>
      </c>
      <c r="D204" s="106">
        <f>190075+190075+190075</f>
        <v>570225</v>
      </c>
      <c r="E204" s="106">
        <f>350000+350000+350000</f>
        <v>1050000</v>
      </c>
      <c r="F204" s="117">
        <f t="shared" si="13"/>
        <v>1620225</v>
      </c>
      <c r="G204" s="106">
        <v>190075</v>
      </c>
      <c r="H204" s="248">
        <v>350000</v>
      </c>
      <c r="I204" s="117">
        <f t="shared" si="14"/>
        <v>540075</v>
      </c>
    </row>
    <row r="205" spans="1:9">
      <c r="A205" s="119">
        <v>112</v>
      </c>
      <c r="B205" s="119">
        <v>7</v>
      </c>
      <c r="C205" s="130" t="s">
        <v>184</v>
      </c>
      <c r="D205" s="106">
        <v>442800</v>
      </c>
      <c r="E205" s="106">
        <v>371500</v>
      </c>
      <c r="F205" s="117">
        <f t="shared" si="13"/>
        <v>814300</v>
      </c>
      <c r="G205" s="106">
        <v>552300</v>
      </c>
      <c r="H205" s="248">
        <v>381500</v>
      </c>
      <c r="I205" s="117">
        <f t="shared" si="14"/>
        <v>933800</v>
      </c>
    </row>
    <row r="206" spans="1:9">
      <c r="A206" s="119">
        <v>113</v>
      </c>
      <c r="B206" s="119">
        <v>8</v>
      </c>
      <c r="C206" s="130" t="s">
        <v>185</v>
      </c>
      <c r="D206" s="106"/>
      <c r="E206" s="106"/>
      <c r="F206" s="117">
        <f t="shared" si="13"/>
        <v>0</v>
      </c>
      <c r="G206" s="106"/>
      <c r="H206" s="248"/>
      <c r="I206" s="117">
        <f t="shared" si="14"/>
        <v>0</v>
      </c>
    </row>
    <row r="207" spans="1:9">
      <c r="A207" s="119">
        <v>114</v>
      </c>
      <c r="B207" s="119">
        <v>9</v>
      </c>
      <c r="C207" s="130" t="s">
        <v>186</v>
      </c>
      <c r="D207" s="106"/>
      <c r="E207" s="106"/>
      <c r="F207" s="117">
        <f t="shared" si="13"/>
        <v>0</v>
      </c>
      <c r="G207" s="106"/>
      <c r="H207" s="248"/>
      <c r="I207" s="117">
        <f t="shared" si="14"/>
        <v>0</v>
      </c>
    </row>
    <row r="208" spans="1:9">
      <c r="A208" s="119">
        <v>115</v>
      </c>
      <c r="B208" s="119">
        <v>10</v>
      </c>
      <c r="C208" s="130" t="s">
        <v>187</v>
      </c>
      <c r="D208" s="106"/>
      <c r="E208" s="106"/>
      <c r="F208" s="117">
        <f t="shared" si="13"/>
        <v>0</v>
      </c>
      <c r="G208" s="106"/>
      <c r="H208" s="248"/>
      <c r="I208" s="117">
        <f t="shared" si="14"/>
        <v>0</v>
      </c>
    </row>
    <row r="209" spans="1:9">
      <c r="A209" s="119">
        <v>116</v>
      </c>
      <c r="B209" s="119">
        <v>11</v>
      </c>
      <c r="C209" s="130" t="s">
        <v>188</v>
      </c>
      <c r="D209" s="106"/>
      <c r="E209" s="106"/>
      <c r="F209" s="117">
        <f t="shared" si="13"/>
        <v>0</v>
      </c>
      <c r="G209" s="106"/>
      <c r="H209" s="248"/>
      <c r="I209" s="117">
        <f t="shared" si="14"/>
        <v>0</v>
      </c>
    </row>
    <row r="210" spans="1:9">
      <c r="A210" s="119">
        <v>117</v>
      </c>
      <c r="B210" s="119">
        <v>12</v>
      </c>
      <c r="C210" s="130" t="s">
        <v>189</v>
      </c>
      <c r="D210" s="106">
        <v>76000</v>
      </c>
      <c r="E210" s="106">
        <v>300000</v>
      </c>
      <c r="F210" s="117">
        <f t="shared" si="13"/>
        <v>376000</v>
      </c>
      <c r="G210" s="106"/>
      <c r="H210" s="248">
        <v>300000</v>
      </c>
      <c r="I210" s="117">
        <f>SUM(G210:H210)</f>
        <v>300000</v>
      </c>
    </row>
    <row r="211" spans="1:9">
      <c r="A211" s="119">
        <v>118</v>
      </c>
      <c r="B211" s="119">
        <v>13</v>
      </c>
      <c r="C211" s="130" t="s">
        <v>190</v>
      </c>
      <c r="D211" s="106">
        <v>992800</v>
      </c>
      <c r="E211" s="106">
        <v>1136000</v>
      </c>
      <c r="F211" s="117">
        <f t="shared" si="13"/>
        <v>2128800</v>
      </c>
      <c r="G211" s="106"/>
      <c r="H211" s="248"/>
      <c r="I211" s="117">
        <f t="shared" si="14"/>
        <v>0</v>
      </c>
    </row>
    <row r="212" spans="1:9">
      <c r="A212" s="119">
        <v>119</v>
      </c>
      <c r="B212" s="119">
        <v>14</v>
      </c>
      <c r="C212" s="130" t="s">
        <v>191</v>
      </c>
      <c r="D212" s="106">
        <f>0</f>
        <v>0</v>
      </c>
      <c r="E212" s="106"/>
      <c r="F212" s="117">
        <f t="shared" si="13"/>
        <v>0</v>
      </c>
      <c r="G212" s="106">
        <v>435000</v>
      </c>
      <c r="H212" s="248">
        <v>300000</v>
      </c>
      <c r="I212" s="117">
        <f t="shared" si="14"/>
        <v>735000</v>
      </c>
    </row>
    <row r="213" spans="1:9">
      <c r="A213" s="119">
        <v>120</v>
      </c>
      <c r="B213" s="119">
        <v>15</v>
      </c>
      <c r="C213" s="130" t="s">
        <v>192</v>
      </c>
      <c r="D213" s="106">
        <f>0</f>
        <v>0</v>
      </c>
      <c r="E213" s="106">
        <v>26000</v>
      </c>
      <c r="F213" s="117">
        <f t="shared" si="13"/>
        <v>26000</v>
      </c>
      <c r="G213" s="106">
        <f>0</f>
        <v>0</v>
      </c>
      <c r="H213" s="248">
        <f>26000</f>
        <v>26000</v>
      </c>
      <c r="I213" s="117">
        <f t="shared" si="14"/>
        <v>26000</v>
      </c>
    </row>
    <row r="214" spans="1:9">
      <c r="A214" s="119">
        <v>121</v>
      </c>
      <c r="B214" s="119">
        <v>16</v>
      </c>
      <c r="C214" s="130" t="s">
        <v>193</v>
      </c>
      <c r="D214" s="106">
        <f>0</f>
        <v>0</v>
      </c>
      <c r="E214" s="106"/>
      <c r="F214" s="117">
        <f t="shared" si="13"/>
        <v>0</v>
      </c>
      <c r="G214" s="106">
        <f>0</f>
        <v>0</v>
      </c>
      <c r="H214" s="248"/>
      <c r="I214" s="117">
        <f t="shared" si="14"/>
        <v>0</v>
      </c>
    </row>
    <row r="215" spans="1:9">
      <c r="A215" s="119">
        <v>122</v>
      </c>
      <c r="B215" s="119">
        <v>17</v>
      </c>
      <c r="C215" s="130" t="s">
        <v>194</v>
      </c>
      <c r="D215" s="106">
        <f>0</f>
        <v>0</v>
      </c>
      <c r="E215" s="106">
        <v>27000</v>
      </c>
      <c r="F215" s="117">
        <f t="shared" si="13"/>
        <v>27000</v>
      </c>
      <c r="G215" s="106">
        <f>0</f>
        <v>0</v>
      </c>
      <c r="H215" s="248">
        <v>27000</v>
      </c>
      <c r="I215" s="117">
        <f t="shared" si="14"/>
        <v>27000</v>
      </c>
    </row>
    <row r="216" spans="1:9">
      <c r="A216" s="119">
        <v>123</v>
      </c>
      <c r="B216" s="119">
        <v>18</v>
      </c>
      <c r="C216" s="130" t="s">
        <v>195</v>
      </c>
      <c r="D216" s="106">
        <f>0</f>
        <v>0</v>
      </c>
      <c r="E216" s="106"/>
      <c r="F216" s="117">
        <f t="shared" si="13"/>
        <v>0</v>
      </c>
      <c r="G216" s="106">
        <f>0</f>
        <v>0</v>
      </c>
      <c r="H216" s="248"/>
      <c r="I216" s="117">
        <f t="shared" si="14"/>
        <v>0</v>
      </c>
    </row>
    <row r="217" spans="1:9">
      <c r="A217" s="119">
        <v>124</v>
      </c>
      <c r="B217" s="119">
        <v>19</v>
      </c>
      <c r="C217" s="130" t="s">
        <v>196</v>
      </c>
      <c r="D217" s="106">
        <f>0</f>
        <v>0</v>
      </c>
      <c r="E217" s="106">
        <v>197000</v>
      </c>
      <c r="F217" s="117">
        <f t="shared" si="13"/>
        <v>197000</v>
      </c>
      <c r="G217" s="106">
        <f>0</f>
        <v>0</v>
      </c>
      <c r="H217" s="248">
        <v>187000</v>
      </c>
      <c r="I217" s="117">
        <f t="shared" si="14"/>
        <v>187000</v>
      </c>
    </row>
    <row r="218" spans="1:9">
      <c r="A218" s="119">
        <v>125</v>
      </c>
      <c r="B218" s="119">
        <v>20</v>
      </c>
      <c r="C218" s="130" t="s">
        <v>197</v>
      </c>
      <c r="D218" s="106"/>
      <c r="E218" s="106"/>
      <c r="F218" s="117">
        <f t="shared" si="13"/>
        <v>0</v>
      </c>
      <c r="G218" s="106"/>
      <c r="H218" s="248"/>
      <c r="I218" s="117">
        <f t="shared" si="14"/>
        <v>0</v>
      </c>
    </row>
    <row r="219" spans="1:9">
      <c r="A219" s="119">
        <v>126</v>
      </c>
      <c r="B219" s="119">
        <v>21</v>
      </c>
      <c r="C219" s="130" t="s">
        <v>198</v>
      </c>
      <c r="D219" s="106">
        <v>91000</v>
      </c>
      <c r="E219" s="106">
        <v>145000</v>
      </c>
      <c r="F219" s="117">
        <f t="shared" si="13"/>
        <v>236000</v>
      </c>
      <c r="G219" s="106">
        <v>91000</v>
      </c>
      <c r="H219" s="248">
        <v>145000</v>
      </c>
      <c r="I219" s="117">
        <f t="shared" si="14"/>
        <v>236000</v>
      </c>
    </row>
    <row r="220" spans="1:9">
      <c r="A220" s="119">
        <v>127</v>
      </c>
      <c r="B220" s="119">
        <v>22</v>
      </c>
      <c r="C220" s="130" t="s">
        <v>199</v>
      </c>
      <c r="D220" s="106"/>
      <c r="E220" s="106">
        <v>175000</v>
      </c>
      <c r="F220" s="117">
        <f t="shared" si="13"/>
        <v>175000</v>
      </c>
      <c r="G220" s="106"/>
      <c r="H220" s="248">
        <v>170000</v>
      </c>
      <c r="I220" s="117">
        <f t="shared" si="14"/>
        <v>170000</v>
      </c>
    </row>
    <row r="221" spans="1:9">
      <c r="A221" s="119">
        <v>128</v>
      </c>
      <c r="B221" s="119">
        <v>23</v>
      </c>
      <c r="C221" s="130" t="s">
        <v>200</v>
      </c>
      <c r="D221" s="106"/>
      <c r="E221" s="106"/>
      <c r="F221" s="117">
        <f t="shared" si="13"/>
        <v>0</v>
      </c>
      <c r="G221" s="106"/>
      <c r="H221" s="248"/>
      <c r="I221" s="117">
        <f t="shared" si="14"/>
        <v>0</v>
      </c>
    </row>
    <row r="222" spans="1:9">
      <c r="A222" s="119">
        <v>129</v>
      </c>
      <c r="B222" s="119">
        <v>24</v>
      </c>
      <c r="C222" s="130" t="s">
        <v>201</v>
      </c>
      <c r="D222" s="106">
        <v>79000</v>
      </c>
      <c r="E222" s="106">
        <v>690000</v>
      </c>
      <c r="F222" s="117">
        <f t="shared" si="13"/>
        <v>769000</v>
      </c>
      <c r="G222" s="106">
        <v>79000</v>
      </c>
      <c r="H222" s="248">
        <f>690000+30000</f>
        <v>720000</v>
      </c>
      <c r="I222" s="117">
        <f t="shared" si="14"/>
        <v>799000</v>
      </c>
    </row>
    <row r="223" spans="1:9">
      <c r="A223" s="119">
        <v>130</v>
      </c>
      <c r="B223" s="119">
        <v>25</v>
      </c>
      <c r="C223" s="130" t="s">
        <v>202</v>
      </c>
      <c r="D223" s="106">
        <v>353500</v>
      </c>
      <c r="E223" s="106"/>
      <c r="F223" s="117">
        <f t="shared" si="13"/>
        <v>353500</v>
      </c>
      <c r="G223" s="106">
        <v>353500</v>
      </c>
      <c r="H223" s="248"/>
      <c r="I223" s="117">
        <f t="shared" si="14"/>
        <v>353500</v>
      </c>
    </row>
    <row r="224" spans="1:9">
      <c r="A224" s="119">
        <v>131</v>
      </c>
      <c r="B224" s="119">
        <v>26</v>
      </c>
      <c r="C224" s="130" t="s">
        <v>203</v>
      </c>
      <c r="D224" s="106"/>
      <c r="E224" s="106"/>
      <c r="F224" s="117">
        <f t="shared" si="13"/>
        <v>0</v>
      </c>
      <c r="G224" s="106"/>
      <c r="H224" s="248"/>
      <c r="I224" s="117">
        <f t="shared" si="14"/>
        <v>0</v>
      </c>
    </row>
    <row r="225" spans="1:9">
      <c r="A225" s="119">
        <v>132</v>
      </c>
      <c r="B225" s="119">
        <v>27</v>
      </c>
      <c r="C225" s="130" t="s">
        <v>204</v>
      </c>
      <c r="D225" s="106">
        <v>1000000</v>
      </c>
      <c r="E225" s="106"/>
      <c r="F225" s="117">
        <f t="shared" si="13"/>
        <v>1000000</v>
      </c>
      <c r="G225" s="106">
        <v>1000000</v>
      </c>
      <c r="H225" s="248"/>
      <c r="I225" s="117">
        <f t="shared" si="14"/>
        <v>1000000</v>
      </c>
    </row>
    <row r="226" spans="1:9">
      <c r="A226" s="119">
        <v>133</v>
      </c>
      <c r="B226" s="119">
        <v>28</v>
      </c>
      <c r="C226" s="130" t="s">
        <v>205</v>
      </c>
      <c r="D226" s="106"/>
      <c r="E226" s="106"/>
      <c r="F226" s="117">
        <f t="shared" si="13"/>
        <v>0</v>
      </c>
      <c r="G226" s="106"/>
      <c r="H226" s="248"/>
      <c r="I226" s="117">
        <f t="shared" si="14"/>
        <v>0</v>
      </c>
    </row>
    <row r="227" spans="1:9">
      <c r="A227" s="119">
        <v>134</v>
      </c>
      <c r="B227" s="119">
        <v>29</v>
      </c>
      <c r="C227" s="130" t="s">
        <v>206</v>
      </c>
      <c r="D227" s="106"/>
      <c r="E227" s="106"/>
      <c r="F227" s="117">
        <f t="shared" si="13"/>
        <v>0</v>
      </c>
      <c r="G227" s="106"/>
      <c r="H227" s="248"/>
      <c r="I227" s="117">
        <f t="shared" si="14"/>
        <v>0</v>
      </c>
    </row>
    <row r="228" spans="1:9">
      <c r="A228" s="119">
        <v>135</v>
      </c>
      <c r="B228" s="119">
        <v>30</v>
      </c>
      <c r="C228" s="130" t="s">
        <v>207</v>
      </c>
      <c r="D228" s="106"/>
      <c r="E228" s="106"/>
      <c r="F228" s="117">
        <f t="shared" si="13"/>
        <v>0</v>
      </c>
      <c r="G228" s="106"/>
      <c r="H228" s="248"/>
      <c r="I228" s="117">
        <f t="shared" si="14"/>
        <v>0</v>
      </c>
    </row>
    <row r="229" spans="1:9">
      <c r="A229" s="119">
        <v>136</v>
      </c>
      <c r="B229" s="119">
        <v>31</v>
      </c>
      <c r="C229" s="130" t="s">
        <v>208</v>
      </c>
      <c r="D229" s="106"/>
      <c r="E229" s="106"/>
      <c r="F229" s="117">
        <f t="shared" si="13"/>
        <v>0</v>
      </c>
      <c r="G229" s="106"/>
      <c r="H229" s="248"/>
      <c r="I229" s="117">
        <f t="shared" si="14"/>
        <v>0</v>
      </c>
    </row>
    <row r="230" spans="1:9">
      <c r="A230" s="119">
        <v>137</v>
      </c>
      <c r="B230" s="119">
        <v>32</v>
      </c>
      <c r="C230" s="130" t="s">
        <v>209</v>
      </c>
      <c r="D230" s="106"/>
      <c r="E230" s="106">
        <v>114000</v>
      </c>
      <c r="F230" s="117">
        <f t="shared" si="13"/>
        <v>114000</v>
      </c>
      <c r="G230" s="106"/>
      <c r="H230" s="248"/>
      <c r="I230" s="117">
        <f t="shared" si="14"/>
        <v>0</v>
      </c>
    </row>
    <row r="231" spans="1:9">
      <c r="A231" s="119">
        <v>138</v>
      </c>
      <c r="B231" s="119">
        <v>33</v>
      </c>
      <c r="C231" s="130" t="s">
        <v>210</v>
      </c>
      <c r="D231" s="106"/>
      <c r="E231" s="106">
        <v>88000</v>
      </c>
      <c r="F231" s="117">
        <f t="shared" si="13"/>
        <v>88000</v>
      </c>
      <c r="G231" s="106">
        <v>86000</v>
      </c>
      <c r="H231" s="248"/>
      <c r="I231" s="117">
        <f t="shared" si="14"/>
        <v>86000</v>
      </c>
    </row>
    <row r="232" spans="1:9">
      <c r="A232" s="119">
        <v>139</v>
      </c>
      <c r="B232" s="119">
        <v>34</v>
      </c>
      <c r="C232" s="130" t="s">
        <v>211</v>
      </c>
      <c r="D232" s="106"/>
      <c r="E232" s="106"/>
      <c r="F232" s="117">
        <f t="shared" si="13"/>
        <v>0</v>
      </c>
      <c r="G232" s="106"/>
      <c r="H232" s="248"/>
      <c r="I232" s="117">
        <f t="shared" si="14"/>
        <v>0</v>
      </c>
    </row>
    <row r="233" spans="1:9">
      <c r="A233" s="119">
        <v>140</v>
      </c>
      <c r="B233" s="119">
        <v>35</v>
      </c>
      <c r="C233" s="130" t="s">
        <v>212</v>
      </c>
      <c r="D233" s="106"/>
      <c r="E233" s="106"/>
      <c r="F233" s="117">
        <f t="shared" si="13"/>
        <v>0</v>
      </c>
      <c r="G233" s="106"/>
      <c r="H233" s="248"/>
      <c r="I233" s="117">
        <f t="shared" si="14"/>
        <v>0</v>
      </c>
    </row>
    <row r="234" spans="1:9">
      <c r="A234" s="119">
        <v>141</v>
      </c>
      <c r="B234" s="119">
        <v>36</v>
      </c>
      <c r="C234" s="130" t="s">
        <v>213</v>
      </c>
      <c r="D234" s="106"/>
      <c r="E234" s="106"/>
      <c r="F234" s="117">
        <f t="shared" si="13"/>
        <v>0</v>
      </c>
      <c r="G234" s="106"/>
      <c r="H234" s="248"/>
      <c r="I234" s="117">
        <f t="shared" si="14"/>
        <v>0</v>
      </c>
    </row>
    <row r="235" spans="1:9">
      <c r="A235" s="119">
        <v>142</v>
      </c>
      <c r="B235" s="119">
        <v>37</v>
      </c>
      <c r="C235" s="130" t="s">
        <v>214</v>
      </c>
      <c r="D235" s="106"/>
      <c r="E235" s="106"/>
      <c r="F235" s="117">
        <f t="shared" si="13"/>
        <v>0</v>
      </c>
      <c r="G235" s="106"/>
      <c r="H235" s="248"/>
      <c r="I235" s="117">
        <f t="shared" si="14"/>
        <v>0</v>
      </c>
    </row>
    <row r="236" spans="1:9">
      <c r="A236" s="119">
        <v>143</v>
      </c>
      <c r="B236" s="119">
        <v>38</v>
      </c>
      <c r="C236" s="130" t="s">
        <v>215</v>
      </c>
      <c r="D236" s="106"/>
      <c r="E236" s="106"/>
      <c r="F236" s="117">
        <f t="shared" si="13"/>
        <v>0</v>
      </c>
      <c r="G236" s="106"/>
      <c r="H236" s="248"/>
      <c r="I236" s="117">
        <f t="shared" si="14"/>
        <v>0</v>
      </c>
    </row>
    <row r="237" spans="1:9">
      <c r="A237" s="119">
        <v>144</v>
      </c>
      <c r="B237" s="119">
        <v>39</v>
      </c>
      <c r="C237" s="130" t="s">
        <v>216</v>
      </c>
      <c r="D237" s="106"/>
      <c r="E237" s="106">
        <v>350000</v>
      </c>
      <c r="F237" s="117">
        <f t="shared" si="13"/>
        <v>350000</v>
      </c>
      <c r="G237" s="106"/>
      <c r="H237" s="248">
        <f>330000+114000</f>
        <v>444000</v>
      </c>
      <c r="I237" s="117">
        <f t="shared" si="14"/>
        <v>444000</v>
      </c>
    </row>
    <row r="238" spans="1:9">
      <c r="A238" s="119">
        <v>145</v>
      </c>
      <c r="B238" s="119">
        <v>40</v>
      </c>
      <c r="C238" s="130" t="s">
        <v>217</v>
      </c>
      <c r="D238" s="106"/>
      <c r="E238" s="106"/>
      <c r="F238" s="117">
        <f t="shared" si="13"/>
        <v>0</v>
      </c>
      <c r="G238" s="106"/>
      <c r="H238" s="248"/>
      <c r="I238" s="117">
        <f t="shared" si="14"/>
        <v>0</v>
      </c>
    </row>
    <row r="239" spans="1:9">
      <c r="A239" s="119">
        <v>146</v>
      </c>
      <c r="B239" s="119">
        <v>41</v>
      </c>
      <c r="C239" s="130" t="s">
        <v>218</v>
      </c>
      <c r="D239" s="106"/>
      <c r="E239" s="106"/>
      <c r="F239" s="117">
        <f t="shared" si="13"/>
        <v>0</v>
      </c>
      <c r="G239" s="106"/>
      <c r="H239" s="248"/>
      <c r="I239" s="117">
        <f t="shared" si="14"/>
        <v>0</v>
      </c>
    </row>
    <row r="240" spans="1:9">
      <c r="A240" s="119">
        <v>147</v>
      </c>
      <c r="B240" s="119">
        <v>42</v>
      </c>
      <c r="C240" s="130" t="s">
        <v>219</v>
      </c>
      <c r="D240" s="106"/>
      <c r="E240" s="106"/>
      <c r="F240" s="117">
        <f t="shared" si="13"/>
        <v>0</v>
      </c>
      <c r="G240" s="106"/>
      <c r="H240" s="248"/>
      <c r="I240" s="117">
        <f t="shared" si="14"/>
        <v>0</v>
      </c>
    </row>
    <row r="241" spans="1:9">
      <c r="A241" s="119">
        <v>148</v>
      </c>
      <c r="B241" s="119">
        <v>43</v>
      </c>
      <c r="C241" s="130" t="s">
        <v>220</v>
      </c>
      <c r="D241" s="106"/>
      <c r="E241" s="106"/>
      <c r="F241" s="117">
        <f t="shared" si="13"/>
        <v>0</v>
      </c>
      <c r="G241" s="106">
        <v>400000</v>
      </c>
      <c r="H241" s="248"/>
      <c r="I241" s="117">
        <f t="shared" si="14"/>
        <v>400000</v>
      </c>
    </row>
    <row r="242" spans="1:9">
      <c r="A242" s="119">
        <v>149</v>
      </c>
      <c r="B242" s="119">
        <v>44</v>
      </c>
      <c r="C242" s="130" t="s">
        <v>221</v>
      </c>
      <c r="D242" s="106">
        <v>1000000</v>
      </c>
      <c r="E242" s="106"/>
      <c r="F242" s="117">
        <f t="shared" si="13"/>
        <v>1000000</v>
      </c>
      <c r="G242" s="106">
        <v>1000000</v>
      </c>
      <c r="H242" s="248"/>
      <c r="I242" s="117">
        <f t="shared" si="14"/>
        <v>1000000</v>
      </c>
    </row>
    <row r="243" spans="1:9">
      <c r="A243" s="119">
        <v>150</v>
      </c>
      <c r="B243" s="119">
        <v>45</v>
      </c>
      <c r="C243" s="130" t="s">
        <v>222</v>
      </c>
      <c r="D243" s="106">
        <v>3000000</v>
      </c>
      <c r="E243" s="106"/>
      <c r="F243" s="117">
        <f t="shared" si="13"/>
        <v>3000000</v>
      </c>
      <c r="G243" s="106"/>
      <c r="H243" s="248"/>
      <c r="I243" s="117">
        <f t="shared" si="14"/>
        <v>0</v>
      </c>
    </row>
    <row r="244" spans="1:9">
      <c r="A244" s="119">
        <v>151</v>
      </c>
      <c r="B244" s="119">
        <v>46</v>
      </c>
      <c r="C244" s="130" t="s">
        <v>306</v>
      </c>
      <c r="D244" s="106">
        <v>1500000</v>
      </c>
      <c r="E244" s="106"/>
      <c r="F244" s="117">
        <f t="shared" si="13"/>
        <v>1500000</v>
      </c>
      <c r="G244" s="106">
        <f>750000</f>
        <v>750000</v>
      </c>
      <c r="H244" s="248"/>
      <c r="I244" s="117">
        <f t="shared" si="14"/>
        <v>750000</v>
      </c>
    </row>
    <row r="245" spans="1:9">
      <c r="A245" s="119">
        <v>152</v>
      </c>
      <c r="B245" s="119">
        <v>47</v>
      </c>
      <c r="C245" s="130" t="s">
        <v>281</v>
      </c>
      <c r="D245" s="106">
        <v>350000</v>
      </c>
      <c r="E245" s="106"/>
      <c r="F245" s="117">
        <f t="shared" si="13"/>
        <v>350000</v>
      </c>
      <c r="G245" s="106">
        <v>350000</v>
      </c>
      <c r="H245" s="248"/>
      <c r="I245" s="117">
        <f t="shared" si="14"/>
        <v>350000</v>
      </c>
    </row>
    <row r="246" spans="1:9">
      <c r="A246" s="119">
        <v>153</v>
      </c>
      <c r="B246" s="119">
        <v>48</v>
      </c>
      <c r="C246" s="130" t="s">
        <v>347</v>
      </c>
      <c r="D246" s="106">
        <v>1000000</v>
      </c>
      <c r="E246" s="106"/>
      <c r="F246" s="117">
        <f>0</f>
        <v>0</v>
      </c>
      <c r="G246" s="106">
        <v>1000000</v>
      </c>
      <c r="H246" s="248"/>
      <c r="I246" s="117">
        <f t="shared" si="14"/>
        <v>1000000</v>
      </c>
    </row>
    <row r="247" spans="1:9">
      <c r="A247" s="119">
        <v>154</v>
      </c>
      <c r="B247" s="119">
        <v>49</v>
      </c>
      <c r="C247" s="130" t="s">
        <v>348</v>
      </c>
      <c r="D247" s="106">
        <v>500000</v>
      </c>
      <c r="E247" s="106"/>
      <c r="F247" s="117">
        <f>0</f>
        <v>0</v>
      </c>
      <c r="G247" s="106"/>
      <c r="H247" s="248"/>
      <c r="I247" s="117">
        <f t="shared" si="14"/>
        <v>0</v>
      </c>
    </row>
    <row r="248" spans="1:9">
      <c r="A248" s="119">
        <v>155</v>
      </c>
      <c r="B248" s="119">
        <v>50</v>
      </c>
      <c r="C248" s="130" t="s">
        <v>374</v>
      </c>
      <c r="D248" s="106">
        <v>1700000</v>
      </c>
      <c r="E248" s="106"/>
      <c r="F248" s="117">
        <f>0</f>
        <v>0</v>
      </c>
      <c r="G248" s="106">
        <v>1700000</v>
      </c>
      <c r="H248" s="248"/>
      <c r="I248" s="117">
        <f t="shared" si="14"/>
        <v>1700000</v>
      </c>
    </row>
    <row r="249" spans="1:9">
      <c r="A249" s="119">
        <v>156</v>
      </c>
      <c r="B249" s="119">
        <v>51</v>
      </c>
      <c r="C249" s="130" t="s">
        <v>375</v>
      </c>
      <c r="D249" s="106">
        <f>0</f>
        <v>0</v>
      </c>
      <c r="E249" s="106">
        <f>0</f>
        <v>0</v>
      </c>
      <c r="F249" s="117">
        <f>0</f>
        <v>0</v>
      </c>
      <c r="G249" s="106">
        <f>0</f>
        <v>0</v>
      </c>
      <c r="H249" s="248">
        <f>0</f>
        <v>0</v>
      </c>
      <c r="I249" s="117">
        <f t="shared" si="14"/>
        <v>0</v>
      </c>
    </row>
    <row r="250" spans="1:9">
      <c r="A250" s="119">
        <v>157</v>
      </c>
      <c r="B250" s="119">
        <v>52</v>
      </c>
      <c r="C250" s="130" t="s">
        <v>224</v>
      </c>
      <c r="D250" s="106">
        <f>0</f>
        <v>0</v>
      </c>
      <c r="E250" s="106">
        <f>0</f>
        <v>0</v>
      </c>
      <c r="F250" s="117">
        <f>SUM(D250:E250)</f>
        <v>0</v>
      </c>
      <c r="G250" s="106">
        <f>0</f>
        <v>0</v>
      </c>
      <c r="H250" s="248">
        <f>0</f>
        <v>0</v>
      </c>
      <c r="I250" s="117">
        <f t="shared" si="14"/>
        <v>0</v>
      </c>
    </row>
    <row r="251" spans="1:9">
      <c r="A251" s="119">
        <v>158</v>
      </c>
      <c r="B251" s="119">
        <v>53</v>
      </c>
      <c r="C251" s="131" t="s">
        <v>225</v>
      </c>
      <c r="D251" s="106">
        <v>860000</v>
      </c>
      <c r="E251" s="106">
        <f>0</f>
        <v>0</v>
      </c>
      <c r="F251" s="117">
        <f>SUM(D251:E251)</f>
        <v>860000</v>
      </c>
      <c r="G251" s="106"/>
      <c r="H251" s="248">
        <f>0</f>
        <v>0</v>
      </c>
      <c r="I251" s="117">
        <f t="shared" si="14"/>
        <v>0</v>
      </c>
    </row>
    <row r="252" spans="1:9">
      <c r="A252" s="132" t="s">
        <v>58</v>
      </c>
      <c r="B252" s="132"/>
      <c r="C252" s="132"/>
      <c r="D252" s="110">
        <f>SUM(D199:D251)</f>
        <v>14685515</v>
      </c>
      <c r="E252" s="110">
        <f>SUM(E199:E251)</f>
        <v>4912700</v>
      </c>
      <c r="F252" s="110">
        <f>SUM(D252:E252)</f>
        <v>19598215</v>
      </c>
      <c r="G252" s="110">
        <f>SUM(G199:G251)</f>
        <v>8335665</v>
      </c>
      <c r="H252" s="110">
        <f>SUM(H199:H251)</f>
        <v>3212700</v>
      </c>
      <c r="I252" s="110">
        <f>SUM(G252:H252)</f>
        <v>11548365</v>
      </c>
    </row>
    <row r="253" spans="1:9">
      <c r="A253" s="108" t="s">
        <v>226</v>
      </c>
      <c r="B253" s="109"/>
      <c r="C253" s="109"/>
      <c r="D253" s="109"/>
      <c r="E253" s="109"/>
      <c r="F253" s="109"/>
      <c r="G253" s="109"/>
      <c r="H253" s="109"/>
      <c r="I253" s="113"/>
    </row>
    <row r="254" spans="1:9">
      <c r="A254" s="119">
        <v>159</v>
      </c>
      <c r="B254" s="119">
        <v>1</v>
      </c>
      <c r="C254" s="125" t="s">
        <v>227</v>
      </c>
      <c r="D254" s="106">
        <v>1133280</v>
      </c>
      <c r="E254" s="106">
        <v>30000</v>
      </c>
      <c r="F254" s="117">
        <f>SUM(D254:E254)</f>
        <v>1163280</v>
      </c>
      <c r="G254" s="106">
        <v>961778</v>
      </c>
      <c r="H254" s="248">
        <v>30000</v>
      </c>
      <c r="I254" s="117">
        <f>SUM(G254:H254)</f>
        <v>991778</v>
      </c>
    </row>
    <row r="255" spans="1:9">
      <c r="A255" s="108" t="s">
        <v>101</v>
      </c>
      <c r="B255" s="109"/>
      <c r="C255" s="109"/>
      <c r="D255" s="110">
        <f>D254</f>
        <v>1133280</v>
      </c>
      <c r="E255" s="110">
        <f>E254</f>
        <v>30000</v>
      </c>
      <c r="F255" s="110">
        <f>SUM(D255:E255)</f>
        <v>1163280</v>
      </c>
      <c r="G255" s="110">
        <f>G254</f>
        <v>961778</v>
      </c>
      <c r="H255" s="110">
        <f>H254</f>
        <v>30000</v>
      </c>
      <c r="I255" s="110">
        <f>SUM(G255:H255)</f>
        <v>991778</v>
      </c>
    </row>
    <row r="256" spans="1:9">
      <c r="A256" s="108" t="s">
        <v>228</v>
      </c>
      <c r="B256" s="109"/>
      <c r="C256" s="109"/>
      <c r="D256" s="109"/>
      <c r="E256" s="109"/>
      <c r="F256" s="109"/>
      <c r="G256" s="109"/>
      <c r="H256" s="109"/>
      <c r="I256" s="113"/>
    </row>
    <row r="257" spans="1:9">
      <c r="A257" s="119">
        <v>160</v>
      </c>
      <c r="B257" s="119">
        <v>1</v>
      </c>
      <c r="C257" s="133" t="s">
        <v>229</v>
      </c>
      <c r="D257" s="106">
        <f>0</f>
        <v>0</v>
      </c>
      <c r="E257" s="134">
        <f>0</f>
        <v>0</v>
      </c>
      <c r="F257" s="117">
        <f>SUM(D257:E257)</f>
        <v>0</v>
      </c>
      <c r="G257" s="106">
        <f>0</f>
        <v>0</v>
      </c>
      <c r="H257" s="134">
        <f>0</f>
        <v>0</v>
      </c>
      <c r="I257" s="117">
        <f>SUM(G257:H257)</f>
        <v>0</v>
      </c>
    </row>
    <row r="258" spans="1:9">
      <c r="A258" s="119">
        <v>161</v>
      </c>
      <c r="B258" s="119">
        <v>2</v>
      </c>
      <c r="C258" s="220" t="s">
        <v>429</v>
      </c>
      <c r="D258" s="106">
        <f>0</f>
        <v>0</v>
      </c>
      <c r="E258" s="134">
        <f>1500000</f>
        <v>1500000</v>
      </c>
      <c r="F258" s="117">
        <f>SUM(D258:E258)</f>
        <v>1500000</v>
      </c>
      <c r="G258" s="106">
        <f>0</f>
        <v>0</v>
      </c>
      <c r="H258" s="134">
        <f>1500000</f>
        <v>1500000</v>
      </c>
      <c r="I258" s="117">
        <f>G258+H258</f>
        <v>1500000</v>
      </c>
    </row>
    <row r="259" spans="1:9">
      <c r="A259" s="108" t="s">
        <v>101</v>
      </c>
      <c r="B259" s="109"/>
      <c r="C259" s="109"/>
      <c r="D259" s="110">
        <f>SUM(D257:D258)</f>
        <v>0</v>
      </c>
      <c r="E259" s="110">
        <f>SUM(E257:E258)</f>
        <v>1500000</v>
      </c>
      <c r="F259" s="110">
        <f>SUM(D259:E259)</f>
        <v>1500000</v>
      </c>
      <c r="G259" s="110">
        <f>SUM(G257:G258)</f>
        <v>0</v>
      </c>
      <c r="H259" s="110">
        <f>SUM(H257:H258)</f>
        <v>1500000</v>
      </c>
      <c r="I259" s="110">
        <f>SUM(G259:H259)</f>
        <v>1500000</v>
      </c>
    </row>
    <row r="260" spans="1:9">
      <c r="A260" s="108" t="s">
        <v>230</v>
      </c>
      <c r="B260" s="109"/>
      <c r="C260" s="109"/>
      <c r="D260" s="109"/>
      <c r="E260" s="109"/>
      <c r="F260" s="109"/>
      <c r="G260" s="109"/>
      <c r="H260" s="109"/>
      <c r="I260" s="113"/>
    </row>
    <row r="261" spans="1:9" s="189" customFormat="1">
      <c r="A261" s="186">
        <v>162</v>
      </c>
      <c r="B261" s="186">
        <v>1</v>
      </c>
      <c r="C261" s="228" t="s">
        <v>231</v>
      </c>
      <c r="D261" s="187">
        <f>0</f>
        <v>0</v>
      </c>
      <c r="E261" s="187"/>
      <c r="F261" s="188">
        <f>SUM(D261:E261)</f>
        <v>0</v>
      </c>
      <c r="G261" s="187">
        <f>0</f>
        <v>0</v>
      </c>
      <c r="H261" s="263">
        <v>22005500</v>
      </c>
      <c r="I261" s="188">
        <f>SUM(G261:H261)</f>
        <v>22005500</v>
      </c>
    </row>
    <row r="262" spans="1:9" s="189" customFormat="1">
      <c r="A262" s="186">
        <v>163</v>
      </c>
      <c r="B262" s="186">
        <v>2</v>
      </c>
      <c r="C262" s="228" t="s">
        <v>232</v>
      </c>
      <c r="D262" s="187">
        <f>0</f>
        <v>0</v>
      </c>
      <c r="E262" s="187">
        <f>0</f>
        <v>0</v>
      </c>
      <c r="F262" s="188">
        <f t="shared" ref="F262:F302" si="15">SUM(D262:E262)</f>
        <v>0</v>
      </c>
      <c r="G262" s="187">
        <f>0</f>
        <v>0</v>
      </c>
      <c r="H262" s="187">
        <f>0</f>
        <v>0</v>
      </c>
      <c r="I262" s="188">
        <f t="shared" ref="I262:I275" si="16">SUM(G262:H262)</f>
        <v>0</v>
      </c>
    </row>
    <row r="263" spans="1:9" s="189" customFormat="1">
      <c r="A263" s="186">
        <v>164</v>
      </c>
      <c r="B263" s="186">
        <v>3</v>
      </c>
      <c r="C263" s="229" t="s">
        <v>307</v>
      </c>
      <c r="D263" s="187">
        <f>0</f>
        <v>0</v>
      </c>
      <c r="E263" s="187">
        <f>0</f>
        <v>0</v>
      </c>
      <c r="F263" s="188">
        <f t="shared" si="15"/>
        <v>0</v>
      </c>
      <c r="G263" s="187">
        <f>0</f>
        <v>0</v>
      </c>
      <c r="H263" s="187">
        <f>0</f>
        <v>0</v>
      </c>
      <c r="I263" s="188">
        <f t="shared" si="16"/>
        <v>0</v>
      </c>
    </row>
    <row r="264" spans="1:9" s="189" customFormat="1">
      <c r="A264" s="186">
        <v>165</v>
      </c>
      <c r="B264" s="186">
        <v>4</v>
      </c>
      <c r="C264" s="135" t="s">
        <v>566</v>
      </c>
      <c r="D264" s="187">
        <f>150000+150000+400000+270000</f>
        <v>970000</v>
      </c>
      <c r="E264" s="187">
        <f>400000+50000</f>
        <v>450000</v>
      </c>
      <c r="F264" s="188">
        <f t="shared" si="15"/>
        <v>1420000</v>
      </c>
      <c r="G264" s="187">
        <f>150000+400000</f>
        <v>550000</v>
      </c>
      <c r="H264" s="187"/>
      <c r="I264" s="188">
        <f t="shared" si="16"/>
        <v>550000</v>
      </c>
    </row>
    <row r="265" spans="1:9" s="189" customFormat="1">
      <c r="A265" s="186">
        <v>166</v>
      </c>
      <c r="B265" s="186">
        <v>5</v>
      </c>
      <c r="C265" s="135" t="s">
        <v>567</v>
      </c>
      <c r="D265" s="187"/>
      <c r="E265" s="187"/>
      <c r="F265" s="188"/>
      <c r="G265" s="187">
        <v>125000</v>
      </c>
      <c r="H265" s="187">
        <f>100000+100000</f>
        <v>200000</v>
      </c>
      <c r="I265" s="188">
        <f t="shared" si="16"/>
        <v>325000</v>
      </c>
    </row>
    <row r="266" spans="1:9" s="189" customFormat="1">
      <c r="A266" s="186">
        <v>167</v>
      </c>
      <c r="B266" s="186">
        <v>6</v>
      </c>
      <c r="C266" s="135" t="s">
        <v>234</v>
      </c>
      <c r="D266" s="187">
        <v>120000</v>
      </c>
      <c r="E266" s="187">
        <f>0</f>
        <v>0</v>
      </c>
      <c r="F266" s="188">
        <f t="shared" si="15"/>
        <v>120000</v>
      </c>
      <c r="G266" s="187">
        <v>120000</v>
      </c>
      <c r="H266" s="187">
        <f>0</f>
        <v>0</v>
      </c>
      <c r="I266" s="188">
        <f t="shared" si="16"/>
        <v>120000</v>
      </c>
    </row>
    <row r="267" spans="1:9" s="189" customFormat="1">
      <c r="A267" s="186">
        <v>168</v>
      </c>
      <c r="B267" s="186">
        <v>7</v>
      </c>
      <c r="C267" s="135" t="s">
        <v>430</v>
      </c>
      <c r="D267" s="187"/>
      <c r="E267" s="187">
        <f>0</f>
        <v>0</v>
      </c>
      <c r="F267" s="188">
        <f t="shared" si="15"/>
        <v>0</v>
      </c>
      <c r="G267" s="187">
        <v>135000</v>
      </c>
      <c r="H267" s="187">
        <f>0</f>
        <v>0</v>
      </c>
      <c r="I267" s="188">
        <f t="shared" si="16"/>
        <v>135000</v>
      </c>
    </row>
    <row r="268" spans="1:9" s="189" customFormat="1">
      <c r="A268" s="186">
        <v>169</v>
      </c>
      <c r="B268" s="186">
        <v>8</v>
      </c>
      <c r="C268" s="135" t="s">
        <v>432</v>
      </c>
      <c r="D268" s="187"/>
      <c r="E268" s="187">
        <f>0</f>
        <v>0</v>
      </c>
      <c r="F268" s="188">
        <f t="shared" si="15"/>
        <v>0</v>
      </c>
      <c r="G268" s="187">
        <v>76000</v>
      </c>
      <c r="H268" s="187">
        <f>0</f>
        <v>0</v>
      </c>
      <c r="I268" s="188">
        <f>SUM(G268:H268)</f>
        <v>76000</v>
      </c>
    </row>
    <row r="269" spans="1:9" s="189" customFormat="1">
      <c r="A269" s="186">
        <v>170</v>
      </c>
      <c r="B269" s="186">
        <v>9</v>
      </c>
      <c r="C269" s="135" t="s">
        <v>238</v>
      </c>
      <c r="D269" s="187"/>
      <c r="E269" s="187">
        <f>0</f>
        <v>0</v>
      </c>
      <c r="F269" s="188">
        <f t="shared" si="15"/>
        <v>0</v>
      </c>
      <c r="G269" s="187">
        <v>1375000</v>
      </c>
      <c r="H269" s="187">
        <f>0</f>
        <v>0</v>
      </c>
      <c r="I269" s="188">
        <f t="shared" si="16"/>
        <v>1375000</v>
      </c>
    </row>
    <row r="270" spans="1:9" s="189" customFormat="1">
      <c r="A270" s="186">
        <v>171</v>
      </c>
      <c r="B270" s="186">
        <v>10</v>
      </c>
      <c r="C270" s="135" t="s">
        <v>442</v>
      </c>
      <c r="D270" s="187">
        <v>12500</v>
      </c>
      <c r="E270" s="187">
        <f>0</f>
        <v>0</v>
      </c>
      <c r="F270" s="188">
        <f t="shared" si="15"/>
        <v>12500</v>
      </c>
      <c r="G270" s="187">
        <f>35000+7500</f>
        <v>42500</v>
      </c>
      <c r="H270" s="187">
        <f>0</f>
        <v>0</v>
      </c>
      <c r="I270" s="188">
        <f t="shared" si="16"/>
        <v>42500</v>
      </c>
    </row>
    <row r="271" spans="1:9" s="189" customFormat="1">
      <c r="A271" s="186">
        <v>172</v>
      </c>
      <c r="B271" s="186">
        <v>11</v>
      </c>
      <c r="C271" s="135" t="s">
        <v>236</v>
      </c>
      <c r="D271" s="187">
        <v>400000</v>
      </c>
      <c r="E271" s="187"/>
      <c r="F271" s="188">
        <f t="shared" si="15"/>
        <v>400000</v>
      </c>
      <c r="G271" s="187"/>
      <c r="H271" s="187"/>
      <c r="I271" s="188">
        <f>SUM(G271:H271)</f>
        <v>0</v>
      </c>
    </row>
    <row r="272" spans="1:9" s="189" customFormat="1">
      <c r="A272" s="186">
        <v>173</v>
      </c>
      <c r="B272" s="186">
        <v>12</v>
      </c>
      <c r="C272" s="135" t="s">
        <v>523</v>
      </c>
      <c r="D272" s="187">
        <v>600000</v>
      </c>
      <c r="E272" s="187"/>
      <c r="F272" s="188">
        <f t="shared" si="15"/>
        <v>600000</v>
      </c>
      <c r="G272" s="187"/>
      <c r="H272" s="187"/>
      <c r="I272" s="188">
        <f>SUM(G272:H272)</f>
        <v>0</v>
      </c>
    </row>
    <row r="273" spans="1:9" s="189" customFormat="1">
      <c r="A273" s="186">
        <v>174</v>
      </c>
      <c r="B273" s="186">
        <v>13</v>
      </c>
      <c r="C273" s="135" t="s">
        <v>524</v>
      </c>
      <c r="D273" s="187"/>
      <c r="E273" s="187">
        <v>200000</v>
      </c>
      <c r="F273" s="188">
        <f t="shared" si="15"/>
        <v>200000</v>
      </c>
      <c r="G273" s="187"/>
      <c r="H273" s="187"/>
      <c r="I273" s="188">
        <f>SUM(G273:H273)</f>
        <v>0</v>
      </c>
    </row>
    <row r="274" spans="1:9" s="189" customFormat="1">
      <c r="A274" s="186">
        <v>175</v>
      </c>
      <c r="B274" s="186">
        <v>14</v>
      </c>
      <c r="C274" s="135" t="s">
        <v>525</v>
      </c>
      <c r="D274" s="187"/>
      <c r="E274" s="187">
        <v>300000</v>
      </c>
      <c r="F274" s="188">
        <f t="shared" si="15"/>
        <v>300000</v>
      </c>
      <c r="G274" s="187"/>
      <c r="H274" s="187"/>
      <c r="I274" s="188">
        <f>SUM(G274:H274)</f>
        <v>0</v>
      </c>
    </row>
    <row r="275" spans="1:9" s="189" customFormat="1">
      <c r="A275" s="186">
        <v>176</v>
      </c>
      <c r="B275" s="186">
        <v>15</v>
      </c>
      <c r="C275" s="135" t="s">
        <v>282</v>
      </c>
      <c r="D275" s="187">
        <v>100000</v>
      </c>
      <c r="E275" s="187">
        <f>0</f>
        <v>0</v>
      </c>
      <c r="F275" s="188">
        <f t="shared" si="15"/>
        <v>100000</v>
      </c>
      <c r="G275" s="187">
        <v>75000</v>
      </c>
      <c r="H275" s="187">
        <f>0</f>
        <v>0</v>
      </c>
      <c r="I275" s="188">
        <f t="shared" si="16"/>
        <v>75000</v>
      </c>
    </row>
    <row r="276" spans="1:9" s="189" customFormat="1">
      <c r="A276" s="186">
        <v>177</v>
      </c>
      <c r="B276" s="186">
        <v>16</v>
      </c>
      <c r="C276" s="135" t="s">
        <v>283</v>
      </c>
      <c r="D276" s="187">
        <v>350000</v>
      </c>
      <c r="E276" s="187">
        <f>0</f>
        <v>0</v>
      </c>
      <c r="F276" s="188">
        <f t="shared" si="15"/>
        <v>350000</v>
      </c>
      <c r="G276" s="187">
        <f>350000</f>
        <v>350000</v>
      </c>
      <c r="H276" s="187">
        <f>0</f>
        <v>0</v>
      </c>
      <c r="I276" s="188">
        <f t="shared" ref="I276:I281" si="17">SUM(G276:H276)</f>
        <v>350000</v>
      </c>
    </row>
    <row r="277" spans="1:9" s="189" customFormat="1">
      <c r="A277" s="186">
        <v>178</v>
      </c>
      <c r="B277" s="186">
        <v>17</v>
      </c>
      <c r="C277" s="135" t="s">
        <v>235</v>
      </c>
      <c r="D277" s="187">
        <v>120000</v>
      </c>
      <c r="E277" s="187">
        <f>0</f>
        <v>0</v>
      </c>
      <c r="F277" s="188">
        <f t="shared" si="15"/>
        <v>120000</v>
      </c>
      <c r="G277" s="187"/>
      <c r="H277" s="187">
        <f>0</f>
        <v>0</v>
      </c>
      <c r="I277" s="188">
        <f t="shared" si="17"/>
        <v>0</v>
      </c>
    </row>
    <row r="278" spans="1:9" s="189" customFormat="1">
      <c r="A278" s="186">
        <v>179</v>
      </c>
      <c r="B278" s="186">
        <v>18</v>
      </c>
      <c r="C278" s="135" t="s">
        <v>568</v>
      </c>
      <c r="D278" s="187"/>
      <c r="E278" s="187"/>
      <c r="F278" s="188">
        <f t="shared" si="15"/>
        <v>0</v>
      </c>
      <c r="G278" s="187">
        <v>216000</v>
      </c>
      <c r="H278" s="187"/>
      <c r="I278" s="188">
        <f t="shared" si="17"/>
        <v>216000</v>
      </c>
    </row>
    <row r="279" spans="1:9" s="189" customFormat="1">
      <c r="A279" s="186">
        <v>180</v>
      </c>
      <c r="B279" s="186">
        <v>19</v>
      </c>
      <c r="C279" s="135" t="s">
        <v>569</v>
      </c>
      <c r="D279" s="187"/>
      <c r="E279" s="187"/>
      <c r="F279" s="188">
        <f t="shared" si="15"/>
        <v>0</v>
      </c>
      <c r="G279" s="187">
        <v>460000</v>
      </c>
      <c r="H279" s="187"/>
      <c r="I279" s="188">
        <f t="shared" si="17"/>
        <v>460000</v>
      </c>
    </row>
    <row r="280" spans="1:9" s="189" customFormat="1">
      <c r="A280" s="186">
        <v>181</v>
      </c>
      <c r="B280" s="186">
        <v>20</v>
      </c>
      <c r="C280" s="135" t="s">
        <v>252</v>
      </c>
      <c r="D280" s="187">
        <f>0</f>
        <v>0</v>
      </c>
      <c r="E280" s="187">
        <f>0</f>
        <v>0</v>
      </c>
      <c r="F280" s="188">
        <f t="shared" si="15"/>
        <v>0</v>
      </c>
      <c r="G280" s="187">
        <f>0</f>
        <v>0</v>
      </c>
      <c r="H280" s="187">
        <f>0</f>
        <v>0</v>
      </c>
      <c r="I280" s="188">
        <f t="shared" si="17"/>
        <v>0</v>
      </c>
    </row>
    <row r="281" spans="1:9" s="189" customFormat="1" ht="15.75" thickBot="1">
      <c r="A281" s="264" t="s">
        <v>101</v>
      </c>
      <c r="B281" s="265"/>
      <c r="C281" s="266"/>
      <c r="D281" s="267">
        <f>SUM(D261:D280)</f>
        <v>2672500</v>
      </c>
      <c r="E281" s="267">
        <f>SUM(E261:E280)</f>
        <v>950000</v>
      </c>
      <c r="F281" s="267">
        <f t="shared" si="15"/>
        <v>3622500</v>
      </c>
      <c r="G281" s="267">
        <f>SUM(G261:G280)</f>
        <v>3524500</v>
      </c>
      <c r="H281" s="267">
        <f>SUM(H261:H280)</f>
        <v>22205500</v>
      </c>
      <c r="I281" s="267">
        <f t="shared" si="17"/>
        <v>25730000</v>
      </c>
    </row>
    <row r="282" spans="1:9" s="189" customFormat="1" ht="15.75" thickTop="1">
      <c r="A282" s="268" t="s">
        <v>570</v>
      </c>
      <c r="B282" s="269"/>
      <c r="C282" s="269"/>
      <c r="D282" s="269"/>
      <c r="E282" s="269"/>
      <c r="F282" s="269"/>
      <c r="G282" s="269"/>
      <c r="H282" s="269"/>
      <c r="I282" s="270"/>
    </row>
    <row r="283" spans="1:9" s="189" customFormat="1">
      <c r="A283" s="271">
        <v>182</v>
      </c>
      <c r="B283" s="186">
        <v>1</v>
      </c>
      <c r="C283" s="272" t="s">
        <v>87</v>
      </c>
      <c r="D283" s="187">
        <f>0</f>
        <v>0</v>
      </c>
      <c r="E283" s="187">
        <f>0</f>
        <v>0</v>
      </c>
      <c r="F283" s="188">
        <f>SUM(D283:E283)</f>
        <v>0</v>
      </c>
      <c r="G283" s="187">
        <f>0</f>
        <v>0</v>
      </c>
      <c r="H283" s="273">
        <v>400000</v>
      </c>
      <c r="I283" s="188">
        <f t="shared" ref="I283:I301" si="18">SUM(G283:H283)</f>
        <v>400000</v>
      </c>
    </row>
    <row r="284" spans="1:9" s="189" customFormat="1">
      <c r="A284" s="271">
        <v>183</v>
      </c>
      <c r="B284" s="186">
        <v>2</v>
      </c>
      <c r="C284" s="272" t="s">
        <v>83</v>
      </c>
      <c r="D284" s="187">
        <f>0</f>
        <v>0</v>
      </c>
      <c r="E284" s="187">
        <f>0</f>
        <v>0</v>
      </c>
      <c r="F284" s="188">
        <f t="shared" ref="F284:F301" si="19">SUM(D284:E284)</f>
        <v>0</v>
      </c>
      <c r="G284" s="187">
        <f>0</f>
        <v>0</v>
      </c>
      <c r="H284" s="273">
        <v>1050000</v>
      </c>
      <c r="I284" s="188">
        <f t="shared" si="18"/>
        <v>1050000</v>
      </c>
    </row>
    <row r="285" spans="1:9" s="189" customFormat="1">
      <c r="A285" s="271">
        <v>184</v>
      </c>
      <c r="B285" s="186">
        <v>3</v>
      </c>
      <c r="C285" s="272" t="s">
        <v>89</v>
      </c>
      <c r="D285" s="187">
        <f>0</f>
        <v>0</v>
      </c>
      <c r="E285" s="187">
        <f>0</f>
        <v>0</v>
      </c>
      <c r="F285" s="188">
        <f t="shared" si="19"/>
        <v>0</v>
      </c>
      <c r="G285" s="187">
        <f>0</f>
        <v>0</v>
      </c>
      <c r="H285" s="273">
        <v>800000</v>
      </c>
      <c r="I285" s="188">
        <f t="shared" si="18"/>
        <v>800000</v>
      </c>
    </row>
    <row r="286" spans="1:9" s="189" customFormat="1">
      <c r="A286" s="271">
        <v>185</v>
      </c>
      <c r="B286" s="186">
        <v>4</v>
      </c>
      <c r="C286" s="272" t="s">
        <v>79</v>
      </c>
      <c r="D286" s="187">
        <f>0</f>
        <v>0</v>
      </c>
      <c r="E286" s="187">
        <f>0</f>
        <v>0</v>
      </c>
      <c r="F286" s="188">
        <f t="shared" si="19"/>
        <v>0</v>
      </c>
      <c r="G286" s="187">
        <f>0</f>
        <v>0</v>
      </c>
      <c r="H286" s="273">
        <v>200000</v>
      </c>
      <c r="I286" s="188">
        <f t="shared" si="18"/>
        <v>200000</v>
      </c>
    </row>
    <row r="287" spans="1:9" s="189" customFormat="1">
      <c r="A287" s="271">
        <v>186</v>
      </c>
      <c r="B287" s="186">
        <v>5</v>
      </c>
      <c r="C287" s="274" t="s">
        <v>571</v>
      </c>
      <c r="D287" s="187">
        <f>0</f>
        <v>0</v>
      </c>
      <c r="E287" s="187">
        <f>0</f>
        <v>0</v>
      </c>
      <c r="F287" s="188">
        <f t="shared" si="19"/>
        <v>0</v>
      </c>
      <c r="G287" s="187">
        <f>0</f>
        <v>0</v>
      </c>
      <c r="H287" s="273">
        <v>986500</v>
      </c>
      <c r="I287" s="188">
        <f t="shared" si="18"/>
        <v>986500</v>
      </c>
    </row>
    <row r="288" spans="1:9" s="189" customFormat="1">
      <c r="A288" s="271">
        <v>187</v>
      </c>
      <c r="B288" s="186">
        <v>6</v>
      </c>
      <c r="C288" s="274" t="s">
        <v>572</v>
      </c>
      <c r="D288" s="187">
        <f>0</f>
        <v>0</v>
      </c>
      <c r="E288" s="187">
        <f>0</f>
        <v>0</v>
      </c>
      <c r="F288" s="188">
        <f t="shared" si="19"/>
        <v>0</v>
      </c>
      <c r="G288" s="187">
        <f>0</f>
        <v>0</v>
      </c>
      <c r="H288" s="273">
        <v>242000</v>
      </c>
      <c r="I288" s="188">
        <f t="shared" si="18"/>
        <v>242000</v>
      </c>
    </row>
    <row r="289" spans="1:9" s="189" customFormat="1">
      <c r="A289" s="271">
        <v>188</v>
      </c>
      <c r="B289" s="186">
        <v>7</v>
      </c>
      <c r="C289" s="274" t="s">
        <v>427</v>
      </c>
      <c r="D289" s="187">
        <f>0</f>
        <v>0</v>
      </c>
      <c r="E289" s="187">
        <f>0</f>
        <v>0</v>
      </c>
      <c r="F289" s="188">
        <f t="shared" si="19"/>
        <v>0</v>
      </c>
      <c r="G289" s="187">
        <f>0</f>
        <v>0</v>
      </c>
      <c r="H289" s="273">
        <v>1000000</v>
      </c>
      <c r="I289" s="188">
        <f t="shared" si="18"/>
        <v>1000000</v>
      </c>
    </row>
    <row r="290" spans="1:9" s="189" customFormat="1">
      <c r="A290" s="271">
        <v>189</v>
      </c>
      <c r="B290" s="186">
        <v>8</v>
      </c>
      <c r="C290" s="274" t="s">
        <v>573</v>
      </c>
      <c r="D290" s="187">
        <f>0</f>
        <v>0</v>
      </c>
      <c r="E290" s="187">
        <f>0</f>
        <v>0</v>
      </c>
      <c r="F290" s="188">
        <f t="shared" si="19"/>
        <v>0</v>
      </c>
      <c r="G290" s="187">
        <f>0</f>
        <v>0</v>
      </c>
      <c r="H290" s="273">
        <v>90000</v>
      </c>
      <c r="I290" s="188">
        <f t="shared" si="18"/>
        <v>90000</v>
      </c>
    </row>
    <row r="291" spans="1:9" s="189" customFormat="1">
      <c r="A291" s="271">
        <v>190</v>
      </c>
      <c r="B291" s="186">
        <v>9</v>
      </c>
      <c r="C291" s="272" t="s">
        <v>65</v>
      </c>
      <c r="D291" s="187">
        <f>0</f>
        <v>0</v>
      </c>
      <c r="E291" s="187">
        <f>0</f>
        <v>0</v>
      </c>
      <c r="F291" s="188">
        <f t="shared" si="19"/>
        <v>0</v>
      </c>
      <c r="G291" s="187">
        <f>0</f>
        <v>0</v>
      </c>
      <c r="H291" s="273">
        <v>2570000</v>
      </c>
      <c r="I291" s="188">
        <f t="shared" si="18"/>
        <v>2570000</v>
      </c>
    </row>
    <row r="292" spans="1:9" s="189" customFormat="1">
      <c r="A292" s="271">
        <v>191</v>
      </c>
      <c r="B292" s="186">
        <v>10</v>
      </c>
      <c r="C292" s="272" t="s">
        <v>84</v>
      </c>
      <c r="D292" s="187">
        <f>0</f>
        <v>0</v>
      </c>
      <c r="E292" s="187">
        <f>0</f>
        <v>0</v>
      </c>
      <c r="F292" s="188">
        <f t="shared" si="19"/>
        <v>0</v>
      </c>
      <c r="G292" s="187">
        <f>0</f>
        <v>0</v>
      </c>
      <c r="H292" s="273">
        <v>253000</v>
      </c>
      <c r="I292" s="188">
        <f t="shared" si="18"/>
        <v>253000</v>
      </c>
    </row>
    <row r="293" spans="1:9" s="189" customFormat="1">
      <c r="A293" s="271">
        <v>192</v>
      </c>
      <c r="B293" s="186">
        <v>11</v>
      </c>
      <c r="C293" s="274" t="s">
        <v>113</v>
      </c>
      <c r="D293" s="187">
        <f>0</f>
        <v>0</v>
      </c>
      <c r="E293" s="187">
        <f>0</f>
        <v>0</v>
      </c>
      <c r="F293" s="188">
        <f t="shared" si="19"/>
        <v>0</v>
      </c>
      <c r="G293" s="187">
        <f>0</f>
        <v>0</v>
      </c>
      <c r="H293" s="273">
        <v>750000</v>
      </c>
      <c r="I293" s="188">
        <f t="shared" si="18"/>
        <v>750000</v>
      </c>
    </row>
    <row r="294" spans="1:9" s="189" customFormat="1">
      <c r="A294" s="271">
        <v>193</v>
      </c>
      <c r="B294" s="186">
        <v>12</v>
      </c>
      <c r="C294" s="274" t="s">
        <v>574</v>
      </c>
      <c r="D294" s="187">
        <f>0</f>
        <v>0</v>
      </c>
      <c r="E294" s="187">
        <f>0</f>
        <v>0</v>
      </c>
      <c r="F294" s="188">
        <f t="shared" si="19"/>
        <v>0</v>
      </c>
      <c r="G294" s="187">
        <f>0</f>
        <v>0</v>
      </c>
      <c r="H294" s="273">
        <v>1050000</v>
      </c>
      <c r="I294" s="188">
        <f t="shared" si="18"/>
        <v>1050000</v>
      </c>
    </row>
    <row r="295" spans="1:9" s="189" customFormat="1">
      <c r="A295" s="271">
        <v>194</v>
      </c>
      <c r="B295" s="186">
        <v>13</v>
      </c>
      <c r="C295" s="272" t="s">
        <v>72</v>
      </c>
      <c r="D295" s="187">
        <f>0</f>
        <v>0</v>
      </c>
      <c r="E295" s="187">
        <f>0</f>
        <v>0</v>
      </c>
      <c r="F295" s="188">
        <f t="shared" si="19"/>
        <v>0</v>
      </c>
      <c r="G295" s="187">
        <f>0</f>
        <v>0</v>
      </c>
      <c r="H295" s="273">
        <v>1000000</v>
      </c>
      <c r="I295" s="188">
        <f t="shared" si="18"/>
        <v>1000000</v>
      </c>
    </row>
    <row r="296" spans="1:9" s="189" customFormat="1">
      <c r="A296" s="271">
        <v>195</v>
      </c>
      <c r="B296" s="186">
        <v>14</v>
      </c>
      <c r="C296" s="272" t="s">
        <v>85</v>
      </c>
      <c r="D296" s="187">
        <f>0</f>
        <v>0</v>
      </c>
      <c r="E296" s="187">
        <f>0</f>
        <v>0</v>
      </c>
      <c r="F296" s="188">
        <f t="shared" si="19"/>
        <v>0</v>
      </c>
      <c r="G296" s="187">
        <f>0</f>
        <v>0</v>
      </c>
      <c r="H296" s="273">
        <v>600000</v>
      </c>
      <c r="I296" s="188">
        <f t="shared" si="18"/>
        <v>600000</v>
      </c>
    </row>
    <row r="297" spans="1:9" s="189" customFormat="1">
      <c r="A297" s="271">
        <v>196</v>
      </c>
      <c r="B297" s="186">
        <v>15</v>
      </c>
      <c r="C297" s="275" t="s">
        <v>63</v>
      </c>
      <c r="D297" s="187">
        <f>0</f>
        <v>0</v>
      </c>
      <c r="E297" s="187">
        <f>0</f>
        <v>0</v>
      </c>
      <c r="F297" s="188">
        <f t="shared" si="19"/>
        <v>0</v>
      </c>
      <c r="G297" s="187">
        <f>0</f>
        <v>0</v>
      </c>
      <c r="H297" s="273">
        <v>1190000</v>
      </c>
      <c r="I297" s="188">
        <f t="shared" si="18"/>
        <v>1190000</v>
      </c>
    </row>
    <row r="298" spans="1:9" s="189" customFormat="1">
      <c r="A298" s="271">
        <v>197</v>
      </c>
      <c r="B298" s="186">
        <v>16</v>
      </c>
      <c r="C298" s="274" t="s">
        <v>99</v>
      </c>
      <c r="D298" s="187">
        <f>0</f>
        <v>0</v>
      </c>
      <c r="E298" s="187">
        <f>0</f>
        <v>0</v>
      </c>
      <c r="F298" s="188">
        <f t="shared" si="19"/>
        <v>0</v>
      </c>
      <c r="G298" s="187">
        <f>0</f>
        <v>0</v>
      </c>
      <c r="H298" s="273">
        <v>400000</v>
      </c>
      <c r="I298" s="188">
        <f t="shared" si="18"/>
        <v>400000</v>
      </c>
    </row>
    <row r="299" spans="1:9" s="189" customFormat="1">
      <c r="A299" s="271">
        <v>198</v>
      </c>
      <c r="B299" s="186">
        <v>17</v>
      </c>
      <c r="C299" s="274" t="s">
        <v>97</v>
      </c>
      <c r="D299" s="187">
        <f>0</f>
        <v>0</v>
      </c>
      <c r="E299" s="187">
        <f>0</f>
        <v>0</v>
      </c>
      <c r="F299" s="188">
        <f t="shared" si="19"/>
        <v>0</v>
      </c>
      <c r="G299" s="187">
        <f>0</f>
        <v>0</v>
      </c>
      <c r="H299" s="273">
        <v>500000</v>
      </c>
      <c r="I299" s="188">
        <f t="shared" si="18"/>
        <v>500000</v>
      </c>
    </row>
    <row r="300" spans="1:9" s="189" customFormat="1">
      <c r="A300" s="271">
        <v>199</v>
      </c>
      <c r="B300" s="186">
        <v>18</v>
      </c>
      <c r="C300" s="272" t="s">
        <v>82</v>
      </c>
      <c r="D300" s="187">
        <f>0</f>
        <v>0</v>
      </c>
      <c r="E300" s="187">
        <f>0</f>
        <v>0</v>
      </c>
      <c r="F300" s="188">
        <f t="shared" si="19"/>
        <v>0</v>
      </c>
      <c r="G300" s="187">
        <f>0</f>
        <v>0</v>
      </c>
      <c r="H300" s="273">
        <v>1800000</v>
      </c>
      <c r="I300" s="188">
        <f t="shared" si="18"/>
        <v>1800000</v>
      </c>
    </row>
    <row r="301" spans="1:9" s="189" customFormat="1">
      <c r="A301" s="271">
        <v>200</v>
      </c>
      <c r="B301" s="186">
        <v>19</v>
      </c>
      <c r="C301" s="274" t="s">
        <v>575</v>
      </c>
      <c r="D301" s="187">
        <f>0</f>
        <v>0</v>
      </c>
      <c r="E301" s="187">
        <f>0</f>
        <v>0</v>
      </c>
      <c r="F301" s="188">
        <f t="shared" si="19"/>
        <v>0</v>
      </c>
      <c r="G301" s="187">
        <f>0</f>
        <v>0</v>
      </c>
      <c r="H301" s="273">
        <v>2255000</v>
      </c>
      <c r="I301" s="188">
        <f t="shared" si="18"/>
        <v>2255000</v>
      </c>
    </row>
    <row r="302" spans="1:9" ht="15.75" thickBot="1">
      <c r="A302" s="137" t="s">
        <v>101</v>
      </c>
      <c r="B302" s="138"/>
      <c r="C302" s="139"/>
      <c r="D302" s="140">
        <f>SUM(D283:D301)</f>
        <v>0</v>
      </c>
      <c r="E302" s="140">
        <f>SUM(E283:E301)</f>
        <v>0</v>
      </c>
      <c r="F302" s="140">
        <f t="shared" si="15"/>
        <v>0</v>
      </c>
      <c r="G302" s="140">
        <f>SUM(G283:G301)</f>
        <v>0</v>
      </c>
      <c r="H302" s="140">
        <f>SUM(H283:H301)</f>
        <v>17136500</v>
      </c>
      <c r="I302" s="140">
        <f>SUM(G302:H302)</f>
        <v>17136500</v>
      </c>
    </row>
    <row r="303" spans="1:9" ht="16.5" thickTop="1" thickBot="1">
      <c r="A303" s="141" t="s">
        <v>253</v>
      </c>
      <c r="B303" s="142"/>
      <c r="C303" s="142"/>
      <c r="D303" s="143">
        <f>D302+D281+D259+D255+D252+D197+D172+D150+D128+D125+D122+D116+D105+D89+D77+D74</f>
        <v>161292527</v>
      </c>
      <c r="E303" s="143">
        <f>E302+E281+E259+E255+E252+E197+E172+E150+E128+E125+E122+E116+E105+E89+E77+E74</f>
        <v>56500814</v>
      </c>
      <c r="F303" s="143">
        <f>SUM(D303:E303)</f>
        <v>217793341</v>
      </c>
      <c r="G303" s="143">
        <f>G302+G281+G259+G255+G252+G197+G172+G150+G128+G125+G122+G116+G105+G89+G77+G74</f>
        <v>139212861</v>
      </c>
      <c r="H303" s="143">
        <f>H302+H281+H259+H255+H252+H197+H172+H150+H128+H125+H122+H116+H105+H89+H77+H74</f>
        <v>90253834</v>
      </c>
      <c r="I303" s="143">
        <f>SUM(G303:H303)</f>
        <v>229466695</v>
      </c>
    </row>
    <row r="304" spans="1:9" ht="15.75" thickTop="1">
      <c r="A304" s="144"/>
      <c r="B304" s="145"/>
      <c r="C304" s="145"/>
      <c r="D304" s="145"/>
      <c r="E304" s="145"/>
      <c r="F304" s="145"/>
      <c r="G304" s="145"/>
      <c r="H304" s="145"/>
      <c r="I304" s="145"/>
    </row>
    <row r="305" spans="1:9">
      <c r="A305" s="144"/>
      <c r="B305" s="145"/>
      <c r="C305" s="145"/>
      <c r="D305" s="145"/>
      <c r="E305" s="145"/>
      <c r="F305" s="145"/>
      <c r="G305" s="145"/>
      <c r="H305" s="145"/>
      <c r="I305" s="145"/>
    </row>
    <row r="306" spans="1:9">
      <c r="A306" s="146" t="s">
        <v>254</v>
      </c>
      <c r="B306" s="146"/>
      <c r="C306" s="146"/>
      <c r="D306" s="146"/>
      <c r="E306" s="146"/>
      <c r="F306" s="146"/>
      <c r="G306" s="146"/>
      <c r="H306" s="146"/>
      <c r="I306" s="146"/>
    </row>
    <row r="307" spans="1:9">
      <c r="A307" s="144"/>
      <c r="B307" s="147" t="s">
        <v>576</v>
      </c>
      <c r="C307" s="147"/>
      <c r="D307" s="147"/>
      <c r="E307" s="147"/>
      <c r="F307" s="147"/>
      <c r="G307" s="147"/>
      <c r="H307" s="147"/>
      <c r="I307" s="147"/>
    </row>
    <row r="308" spans="1:9">
      <c r="A308" s="148" t="s">
        <v>256</v>
      </c>
      <c r="B308" s="149" t="s">
        <v>23</v>
      </c>
      <c r="C308" s="150" t="s">
        <v>24</v>
      </c>
      <c r="D308" s="151"/>
      <c r="E308" s="151"/>
      <c r="F308" s="151"/>
      <c r="G308" s="151"/>
      <c r="H308" s="152"/>
      <c r="I308" s="153" t="s">
        <v>101</v>
      </c>
    </row>
    <row r="309" spans="1:9">
      <c r="A309" s="144"/>
      <c r="B309" s="154"/>
      <c r="C309" s="155"/>
      <c r="D309" s="156"/>
      <c r="E309" s="156"/>
      <c r="F309" s="156"/>
      <c r="G309" s="156"/>
      <c r="H309" s="157"/>
      <c r="I309" s="153" t="s">
        <v>257</v>
      </c>
    </row>
    <row r="310" spans="1:9">
      <c r="A310" s="144"/>
      <c r="B310" s="158"/>
      <c r="C310" s="159" t="s">
        <v>258</v>
      </c>
      <c r="D310" s="160"/>
      <c r="E310" s="160"/>
      <c r="F310" s="160"/>
      <c r="G310" s="160"/>
      <c r="H310" s="161"/>
      <c r="I310" s="162"/>
    </row>
    <row r="311" spans="1:9">
      <c r="A311" s="144"/>
      <c r="B311" s="163">
        <v>1</v>
      </c>
      <c r="C311" s="256" t="s">
        <v>577</v>
      </c>
      <c r="D311" s="175"/>
      <c r="E311" s="175"/>
      <c r="F311" s="175"/>
      <c r="G311" s="175"/>
      <c r="H311" s="239"/>
      <c r="I311" s="257">
        <f>10000000</f>
        <v>10000000</v>
      </c>
    </row>
    <row r="312" spans="1:9">
      <c r="A312" s="144"/>
      <c r="B312" s="163">
        <v>2</v>
      </c>
      <c r="C312" s="241" t="s">
        <v>578</v>
      </c>
      <c r="D312" s="175"/>
      <c r="E312" s="175"/>
      <c r="F312" s="175"/>
      <c r="G312" s="175"/>
      <c r="H312" s="239"/>
      <c r="I312" s="240">
        <f>520000</f>
        <v>520000</v>
      </c>
    </row>
    <row r="313" spans="1:9">
      <c r="A313" s="168"/>
      <c r="B313" s="169" t="s">
        <v>58</v>
      </c>
      <c r="C313" s="170"/>
      <c r="D313" s="170"/>
      <c r="E313" s="170"/>
      <c r="F313" s="170"/>
      <c r="G313" s="170"/>
      <c r="H313" s="171"/>
      <c r="I313" s="172">
        <f>SUM(I311:I312)</f>
        <v>10520000</v>
      </c>
    </row>
    <row r="314" spans="1:9">
      <c r="A314" s="145"/>
      <c r="B314" s="145"/>
      <c r="C314" s="145"/>
      <c r="D314" s="145"/>
      <c r="E314" s="145"/>
      <c r="F314" s="145"/>
      <c r="G314" s="145"/>
      <c r="H314" s="145"/>
      <c r="I314" s="145"/>
    </row>
    <row r="315" spans="1:9">
      <c r="A315" s="148" t="s">
        <v>260</v>
      </c>
      <c r="B315" s="149" t="s">
        <v>23</v>
      </c>
      <c r="C315" s="150" t="s">
        <v>24</v>
      </c>
      <c r="D315" s="151"/>
      <c r="E315" s="151"/>
      <c r="F315" s="151"/>
      <c r="G315" s="151"/>
      <c r="H315" s="152"/>
      <c r="I315" s="153" t="s">
        <v>101</v>
      </c>
    </row>
    <row r="316" spans="1:9">
      <c r="A316" s="145"/>
      <c r="B316" s="154"/>
      <c r="C316" s="155"/>
      <c r="D316" s="156"/>
      <c r="E316" s="156"/>
      <c r="F316" s="156"/>
      <c r="G316" s="156"/>
      <c r="H316" s="157"/>
      <c r="I316" s="153" t="s">
        <v>257</v>
      </c>
    </row>
    <row r="317" spans="1:9">
      <c r="A317" s="145"/>
      <c r="B317" s="158"/>
      <c r="C317" s="159" t="s">
        <v>261</v>
      </c>
      <c r="D317" s="160"/>
      <c r="E317" s="160"/>
      <c r="F317" s="160"/>
      <c r="G317" s="160"/>
      <c r="H317" s="161"/>
      <c r="I317" s="173"/>
    </row>
    <row r="318" spans="1:9">
      <c r="A318" s="145"/>
      <c r="B318" s="163">
        <v>1</v>
      </c>
      <c r="C318" s="176" t="s">
        <v>503</v>
      </c>
      <c r="D318" s="175"/>
      <c r="E318" s="175"/>
      <c r="F318" s="175"/>
      <c r="G318" s="175"/>
      <c r="H318" s="175"/>
      <c r="I318" s="173"/>
    </row>
    <row r="319" spans="1:9">
      <c r="A319" s="145"/>
      <c r="B319" s="163"/>
      <c r="C319" s="241" t="s">
        <v>579</v>
      </c>
      <c r="D319" s="177"/>
      <c r="E319" s="177"/>
      <c r="F319" s="177"/>
      <c r="G319" s="177"/>
      <c r="H319" s="177"/>
      <c r="I319" s="258">
        <f>6260000</f>
        <v>6260000</v>
      </c>
    </row>
    <row r="320" spans="1:9">
      <c r="A320" s="145"/>
      <c r="B320" s="158"/>
      <c r="C320" s="241" t="s">
        <v>580</v>
      </c>
      <c r="D320" s="177"/>
      <c r="E320" s="177"/>
      <c r="F320" s="177"/>
      <c r="G320" s="177"/>
      <c r="H320" s="177"/>
      <c r="I320" s="258">
        <f>166400</f>
        <v>166400</v>
      </c>
    </row>
    <row r="321" spans="1:9">
      <c r="A321" s="145"/>
      <c r="B321" s="163"/>
      <c r="C321" s="241" t="s">
        <v>581</v>
      </c>
      <c r="D321" s="177"/>
      <c r="E321" s="177"/>
      <c r="F321" s="177"/>
      <c r="G321" s="177"/>
      <c r="H321" s="177"/>
      <c r="I321" s="258">
        <f>341000</f>
        <v>341000</v>
      </c>
    </row>
    <row r="322" spans="1:9">
      <c r="A322" s="145"/>
      <c r="B322" s="158"/>
      <c r="C322" s="241" t="s">
        <v>582</v>
      </c>
      <c r="D322" s="177"/>
      <c r="E322" s="177"/>
      <c r="F322" s="177"/>
      <c r="G322" s="177"/>
      <c r="H322" s="177"/>
      <c r="I322" s="258">
        <f>1455775</f>
        <v>1455775</v>
      </c>
    </row>
    <row r="323" spans="1:9">
      <c r="A323" s="145"/>
      <c r="B323" s="158"/>
      <c r="C323" s="241" t="s">
        <v>583</v>
      </c>
      <c r="D323" s="177"/>
      <c r="E323" s="177"/>
      <c r="F323" s="177"/>
      <c r="G323" s="177"/>
      <c r="H323" s="177"/>
      <c r="I323" s="258">
        <f>3177800</f>
        <v>3177800</v>
      </c>
    </row>
    <row r="324" spans="1:9">
      <c r="A324" s="145"/>
      <c r="B324" s="163">
        <v>2</v>
      </c>
      <c r="C324" s="176" t="s">
        <v>584</v>
      </c>
      <c r="D324" s="177"/>
      <c r="E324" s="177"/>
      <c r="F324" s="177"/>
      <c r="G324" s="177"/>
      <c r="H324" s="177"/>
      <c r="I324" s="258"/>
    </row>
    <row r="325" spans="1:9">
      <c r="A325" s="145"/>
      <c r="B325" s="158"/>
      <c r="C325" s="241" t="s">
        <v>585</v>
      </c>
      <c r="D325" s="177"/>
      <c r="E325" s="177"/>
      <c r="F325" s="177"/>
      <c r="G325" s="177"/>
      <c r="H325" s="177"/>
      <c r="I325" s="258">
        <f>1500000</f>
        <v>1500000</v>
      </c>
    </row>
    <row r="326" spans="1:9">
      <c r="A326" s="145"/>
      <c r="B326" s="163"/>
      <c r="C326" s="241" t="s">
        <v>586</v>
      </c>
      <c r="D326" s="177"/>
      <c r="E326" s="177"/>
      <c r="F326" s="177"/>
      <c r="G326" s="177"/>
      <c r="H326" s="177"/>
      <c r="I326" s="258">
        <f>2117000</f>
        <v>2117000</v>
      </c>
    </row>
    <row r="327" spans="1:9">
      <c r="A327" s="145"/>
      <c r="B327" s="158"/>
      <c r="C327" s="241" t="s">
        <v>587</v>
      </c>
      <c r="D327" s="177"/>
      <c r="E327" s="177"/>
      <c r="F327" s="177"/>
      <c r="G327" s="177"/>
      <c r="H327" s="177"/>
      <c r="I327" s="258">
        <f>1522000</f>
        <v>1522000</v>
      </c>
    </row>
    <row r="328" spans="1:9">
      <c r="A328" s="145"/>
      <c r="B328" s="158"/>
      <c r="C328" s="241" t="s">
        <v>588</v>
      </c>
      <c r="D328" s="177"/>
      <c r="E328" s="177"/>
      <c r="F328" s="177"/>
      <c r="G328" s="177"/>
      <c r="H328" s="177"/>
      <c r="I328" s="258">
        <f>2600000</f>
        <v>2600000</v>
      </c>
    </row>
    <row r="329" spans="1:9">
      <c r="A329" s="145"/>
      <c r="B329" s="158"/>
      <c r="C329" s="241" t="s">
        <v>589</v>
      </c>
      <c r="D329" s="177"/>
      <c r="E329" s="177"/>
      <c r="F329" s="177"/>
      <c r="G329" s="177"/>
      <c r="H329" s="177"/>
      <c r="I329" s="258">
        <f>375000</f>
        <v>375000</v>
      </c>
    </row>
    <row r="330" spans="1:9">
      <c r="A330" s="145"/>
      <c r="B330" s="158"/>
      <c r="C330" s="241" t="s">
        <v>590</v>
      </c>
      <c r="D330" s="177"/>
      <c r="E330" s="177"/>
      <c r="F330" s="177"/>
      <c r="G330" s="177"/>
      <c r="H330" s="177"/>
      <c r="I330" s="258">
        <f>100000</f>
        <v>100000</v>
      </c>
    </row>
    <row r="331" spans="1:9">
      <c r="A331" s="145"/>
      <c r="B331" s="163">
        <v>3</v>
      </c>
      <c r="C331" s="259" t="s">
        <v>591</v>
      </c>
      <c r="D331" s="260"/>
      <c r="E331" s="260"/>
      <c r="F331" s="260"/>
      <c r="G331" s="260"/>
      <c r="H331" s="260"/>
      <c r="I331" s="258">
        <f>9900000</f>
        <v>9900000</v>
      </c>
    </row>
    <row r="332" spans="1:9">
      <c r="A332" s="145"/>
      <c r="B332" s="163">
        <v>4</v>
      </c>
      <c r="C332" s="259" t="s">
        <v>592</v>
      </c>
      <c r="D332" s="260"/>
      <c r="E332" s="260"/>
      <c r="F332" s="260"/>
      <c r="G332" s="260"/>
      <c r="H332" s="260"/>
      <c r="I332" s="258">
        <f>600000</f>
        <v>600000</v>
      </c>
    </row>
    <row r="333" spans="1:9">
      <c r="A333" s="145"/>
      <c r="B333" s="163">
        <v>5</v>
      </c>
      <c r="C333" s="259" t="s">
        <v>593</v>
      </c>
      <c r="D333" s="260"/>
      <c r="E333" s="260"/>
      <c r="F333" s="260"/>
      <c r="G333" s="260"/>
      <c r="H333" s="260"/>
      <c r="I333" s="258">
        <f>900000</f>
        <v>900000</v>
      </c>
    </row>
    <row r="334" spans="1:9">
      <c r="A334" s="145"/>
      <c r="B334" s="163">
        <v>6</v>
      </c>
      <c r="C334" s="259" t="s">
        <v>594</v>
      </c>
      <c r="D334" s="260"/>
      <c r="E334" s="260"/>
      <c r="F334" s="260"/>
      <c r="G334" s="260"/>
      <c r="H334" s="260"/>
      <c r="I334" s="173">
        <f>216000+154000+150000+60000</f>
        <v>580000</v>
      </c>
    </row>
    <row r="335" spans="1:9">
      <c r="A335" s="145"/>
      <c r="B335" s="163">
        <v>7</v>
      </c>
      <c r="C335" s="259" t="s">
        <v>508</v>
      </c>
      <c r="D335" s="260"/>
      <c r="E335" s="260"/>
      <c r="F335" s="260"/>
      <c r="G335" s="260"/>
      <c r="H335" s="260"/>
      <c r="I335" s="173">
        <f>455000</f>
        <v>455000</v>
      </c>
    </row>
    <row r="336" spans="1:9">
      <c r="A336" s="168"/>
      <c r="B336" s="178" t="s">
        <v>58</v>
      </c>
      <c r="C336" s="179"/>
      <c r="D336" s="179"/>
      <c r="E336" s="179"/>
      <c r="F336" s="179"/>
      <c r="G336" s="179"/>
      <c r="H336" s="179"/>
      <c r="I336" s="172">
        <f>SUM(I318:I335)</f>
        <v>32049975</v>
      </c>
    </row>
    <row r="337" spans="1:9">
      <c r="A337" s="144"/>
      <c r="B337" s="144"/>
      <c r="C337" s="144"/>
      <c r="D337" s="144"/>
      <c r="E337" s="144"/>
      <c r="F337" s="144"/>
      <c r="G337" s="144"/>
      <c r="H337" s="144"/>
      <c r="I337" s="144" t="s">
        <v>265</v>
      </c>
    </row>
    <row r="338" spans="1:9">
      <c r="A338" s="144"/>
      <c r="B338" s="144"/>
      <c r="C338" s="144"/>
      <c r="D338" s="180"/>
      <c r="G338" s="180" t="s">
        <v>595</v>
      </c>
      <c r="H338" s="180"/>
    </row>
    <row r="339" spans="1:9">
      <c r="A339" s="144"/>
      <c r="B339" s="144"/>
      <c r="C339" s="180" t="s">
        <v>42</v>
      </c>
      <c r="D339" s="181"/>
      <c r="G339" s="146" t="s">
        <v>560</v>
      </c>
      <c r="H339" s="146"/>
    </row>
    <row r="340" spans="1:9">
      <c r="A340" s="144"/>
      <c r="B340" s="144"/>
      <c r="C340" s="144"/>
      <c r="D340" s="182"/>
      <c r="G340" s="144"/>
      <c r="H340" s="144"/>
    </row>
    <row r="341" spans="1:9">
      <c r="A341" s="144"/>
      <c r="B341" s="183"/>
      <c r="C341" s="184" t="s">
        <v>344</v>
      </c>
      <c r="D341" s="184"/>
      <c r="E341" s="193"/>
      <c r="F341" s="193"/>
      <c r="G341" s="261" t="s">
        <v>344</v>
      </c>
      <c r="H341" s="261"/>
    </row>
    <row r="342" spans="1:9">
      <c r="A342" s="144"/>
      <c r="B342" s="183"/>
      <c r="C342" s="180" t="s">
        <v>268</v>
      </c>
      <c r="D342" s="144"/>
      <c r="G342" s="262" t="s">
        <v>596</v>
      </c>
      <c r="H342" s="262"/>
    </row>
  </sheetData>
  <mergeCells count="69">
    <mergeCell ref="C317:H317"/>
    <mergeCell ref="B336:H336"/>
    <mergeCell ref="G339:H339"/>
    <mergeCell ref="G341:H341"/>
    <mergeCell ref="B307:I307"/>
    <mergeCell ref="B308:B309"/>
    <mergeCell ref="C308:H309"/>
    <mergeCell ref="C310:H310"/>
    <mergeCell ref="B313:H313"/>
    <mergeCell ref="B315:B316"/>
    <mergeCell ref="C315:H316"/>
    <mergeCell ref="A260:I260"/>
    <mergeCell ref="A281:C281"/>
    <mergeCell ref="A282:I282"/>
    <mergeCell ref="A302:C302"/>
    <mergeCell ref="A303:C303"/>
    <mergeCell ref="A306:I306"/>
    <mergeCell ref="A198:I198"/>
    <mergeCell ref="A252:C252"/>
    <mergeCell ref="A253:I253"/>
    <mergeCell ref="A255:C255"/>
    <mergeCell ref="A256:I256"/>
    <mergeCell ref="A259:C259"/>
    <mergeCell ref="A129:I129"/>
    <mergeCell ref="A150:C150"/>
    <mergeCell ref="A151:I151"/>
    <mergeCell ref="A172:C172"/>
    <mergeCell ref="A173:I173"/>
    <mergeCell ref="A197:C197"/>
    <mergeCell ref="A117:I117"/>
    <mergeCell ref="A122:C122"/>
    <mergeCell ref="A123:I123"/>
    <mergeCell ref="A125:C125"/>
    <mergeCell ref="A126:I126"/>
    <mergeCell ref="A128:C128"/>
    <mergeCell ref="A78:I78"/>
    <mergeCell ref="A89:C89"/>
    <mergeCell ref="A90:I90"/>
    <mergeCell ref="A105:C105"/>
    <mergeCell ref="A106:I106"/>
    <mergeCell ref="A116:C116"/>
    <mergeCell ref="D69:E69"/>
    <mergeCell ref="G69:H69"/>
    <mergeCell ref="A71:I71"/>
    <mergeCell ref="A74:C74"/>
    <mergeCell ref="A75:I75"/>
    <mergeCell ref="A77:C77"/>
    <mergeCell ref="E54:F54"/>
    <mergeCell ref="A64:I64"/>
    <mergeCell ref="A65:I65"/>
    <mergeCell ref="A66:I66"/>
    <mergeCell ref="A68:A70"/>
    <mergeCell ref="B68:C70"/>
    <mergeCell ref="D68:E68"/>
    <mergeCell ref="F68:F70"/>
    <mergeCell ref="G68:H68"/>
    <mergeCell ref="I68:I70"/>
    <mergeCell ref="A8:B8"/>
    <mergeCell ref="A9:B9"/>
    <mergeCell ref="A10:B10"/>
    <mergeCell ref="E24:F24"/>
    <mergeCell ref="E51:F51"/>
    <mergeCell ref="E53:F53"/>
    <mergeCell ref="B1:F1"/>
    <mergeCell ref="A2:F2"/>
    <mergeCell ref="A3:F3"/>
    <mergeCell ref="A4:F4"/>
    <mergeCell ref="A5:F5"/>
    <mergeCell ref="E7:F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Januari</vt:lpstr>
      <vt:lpstr>februari</vt:lpstr>
      <vt:lpstr>maret</vt:lpstr>
      <vt:lpstr>april</vt:lpstr>
      <vt:lpstr>mei</vt:lpstr>
      <vt:lpstr>juni</vt:lpstr>
      <vt:lpstr>juli</vt:lpstr>
      <vt:lpstr>agustus</vt:lpstr>
      <vt:lpstr>septembr</vt:lpstr>
      <vt:lpstr>OKTOBR</vt:lpstr>
      <vt:lpstr>Novembr</vt:lpstr>
      <vt:lpstr>Desembr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2017-05-16T04:19:18Z</dcterms:created>
  <dcterms:modified xsi:type="dcterms:W3CDTF">2017-05-16T07:37:12Z</dcterms:modified>
</cp:coreProperties>
</file>